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zodzieva_Z\Desktop\49 сессия\СОГЛАСОВАНИЯ\Лера\Внесение изменений сентябрь\"/>
    </mc:Choice>
  </mc:AlternateContent>
  <bookViews>
    <workbookView xWindow="0" yWindow="0" windowWidth="23250" windowHeight="12435" tabRatio="871" activeTab="5"/>
  </bookViews>
  <sheets>
    <sheet name="Доходы 2023-2025 годы" sheetId="32" r:id="rId1"/>
    <sheet name=" Ведомственная 2023-2025 годы " sheetId="20" r:id="rId2"/>
    <sheet name="Расходы 2023-2025 годы" sheetId="21" r:id="rId3"/>
    <sheet name="МП, ВЦП и НПР 2023-2025 годы" sheetId="31" r:id="rId4"/>
    <sheet name="Субсидии НКО и ЮЛ 2023-2025" sheetId="33" r:id="rId5"/>
    <sheet name="Источники 2023-2025 годы" sheetId="14" r:id="rId6"/>
  </sheets>
  <definedNames>
    <definedName name="_xlnm._FilterDatabase" localSheetId="1" hidden="1">' Ведомственная 2023-2025 годы '!$A$20:$I$1141</definedName>
    <definedName name="_xlnm._FilterDatabase" localSheetId="5" hidden="1">'Источники 2023-2025 годы'!$A$29:$B$29</definedName>
    <definedName name="_xlnm._FilterDatabase" localSheetId="3" hidden="1">'МП, ВЦП и НПР 2023-2025 годы'!$A$20:$H$1132</definedName>
    <definedName name="_xlnm._FilterDatabase" localSheetId="2" hidden="1">'Расходы 2023-2025 годы'!$A$19:$H$879</definedName>
    <definedName name="_xlnm.Print_Titles" localSheetId="3">'МП, ВЦП и НПР 2023-2025 годы'!$32:$32</definedName>
    <definedName name="_xlnm.Print_Titles" localSheetId="2">'Расходы 2023-2025 годы'!$27:$27</definedName>
    <definedName name="_xlnm.Print_Area" localSheetId="1">' Ведомственная 2023-2025 годы '!$A$1:$I$1141</definedName>
    <definedName name="_xlnm.Print_Area" localSheetId="0">'Доходы 2023-2025 годы'!$A$1:$E$82</definedName>
    <definedName name="_xlnm.Print_Area" localSheetId="3">'МП, ВЦП и НПР 2023-2025 годы'!$A$1:$H$1132</definedName>
    <definedName name="_xlnm.Print_Area" localSheetId="2">'Расходы 2023-2025 годы'!$A$1:$H$878</definedName>
  </definedNames>
  <calcPr calcId="152511"/>
  <fileRecoveryPr autoRecover="0"/>
</workbook>
</file>

<file path=xl/calcChain.xml><?xml version="1.0" encoding="utf-8"?>
<calcChain xmlns="http://schemas.openxmlformats.org/spreadsheetml/2006/main">
  <c r="F29" i="33" l="1"/>
  <c r="F194" i="31"/>
  <c r="F179" i="31"/>
  <c r="F112" i="31"/>
  <c r="F895" i="31"/>
  <c r="F787" i="31"/>
  <c r="F477" i="21"/>
  <c r="F468" i="21"/>
  <c r="F267" i="21"/>
  <c r="F844" i="21"/>
  <c r="F85" i="21"/>
  <c r="G540" i="20"/>
  <c r="G510" i="20"/>
  <c r="G906" i="20"/>
  <c r="G324" i="20"/>
  <c r="E45" i="14" l="1"/>
  <c r="D45" i="14"/>
  <c r="C45" i="14"/>
  <c r="C44" i="14" s="1"/>
  <c r="C43" i="14" s="1"/>
  <c r="C42" i="14" s="1"/>
  <c r="E44" i="14"/>
  <c r="E43" i="14" s="1"/>
  <c r="E42" i="14" s="1"/>
  <c r="D44" i="14"/>
  <c r="D43" i="14"/>
  <c r="D42" i="14" s="1"/>
  <c r="E41" i="14"/>
  <c r="D41" i="14"/>
  <c r="C41" i="14"/>
  <c r="C40" i="14" s="1"/>
  <c r="C39" i="14" s="1"/>
  <c r="C38" i="14" s="1"/>
  <c r="C37" i="14" s="1"/>
  <c r="E40" i="14"/>
  <c r="E39" i="14" s="1"/>
  <c r="E38" i="14" s="1"/>
  <c r="D40" i="14"/>
  <c r="D39" i="14"/>
  <c r="D38" i="14" s="1"/>
  <c r="D37" i="14" s="1"/>
  <c r="E35" i="14"/>
  <c r="E34" i="14" s="1"/>
  <c r="E33" i="14" s="1"/>
  <c r="D35" i="14"/>
  <c r="C35" i="14"/>
  <c r="D34" i="14"/>
  <c r="D33" i="14" s="1"/>
  <c r="C34" i="14"/>
  <c r="C33" i="14"/>
  <c r="E32" i="14"/>
  <c r="E31" i="14"/>
  <c r="D31" i="14"/>
  <c r="D30" i="14" s="1"/>
  <c r="D27" i="14" s="1"/>
  <c r="C31" i="14"/>
  <c r="C30" i="14" s="1"/>
  <c r="C27" i="14" s="1"/>
  <c r="E30" i="14"/>
  <c r="E29" i="14"/>
  <c r="E28" i="14" s="1"/>
  <c r="D29" i="14"/>
  <c r="C29" i="14"/>
  <c r="D28" i="14"/>
  <c r="C28" i="14"/>
  <c r="E26" i="14"/>
  <c r="D26" i="14"/>
  <c r="C26" i="14"/>
  <c r="E25" i="14"/>
  <c r="E22" i="14" s="1"/>
  <c r="D25" i="14"/>
  <c r="C25" i="14"/>
  <c r="E24" i="14"/>
  <c r="D24" i="14"/>
  <c r="D23" i="14" s="1"/>
  <c r="D22" i="14" s="1"/>
  <c r="C24" i="14"/>
  <c r="E23" i="14"/>
  <c r="C23" i="14"/>
  <c r="C22" i="14" s="1"/>
  <c r="H32" i="33"/>
  <c r="G32" i="33"/>
  <c r="G30" i="33" s="1"/>
  <c r="G27" i="33" s="1"/>
  <c r="F32" i="33"/>
  <c r="F30" i="33" s="1"/>
  <c r="H30" i="33"/>
  <c r="F28" i="33"/>
  <c r="H28" i="33"/>
  <c r="G28" i="33"/>
  <c r="F26" i="33"/>
  <c r="F25" i="33" s="1"/>
  <c r="H25" i="33"/>
  <c r="G25" i="33"/>
  <c r="H23" i="33"/>
  <c r="G23" i="33"/>
  <c r="G22" i="33" s="1"/>
  <c r="G21" i="33" s="1"/>
  <c r="F23" i="33"/>
  <c r="H1130" i="31"/>
  <c r="G1130" i="31"/>
  <c r="G1129" i="31" s="1"/>
  <c r="G1128" i="31" s="1"/>
  <c r="G1127" i="31" s="1"/>
  <c r="F1130" i="31"/>
  <c r="F1129" i="31" s="1"/>
  <c r="F1128" i="31" s="1"/>
  <c r="F1127" i="31" s="1"/>
  <c r="H1129" i="31"/>
  <c r="H1128" i="31" s="1"/>
  <c r="H1127" i="31" s="1"/>
  <c r="H1125" i="31"/>
  <c r="H1124" i="31" s="1"/>
  <c r="H1123" i="31" s="1"/>
  <c r="G1125" i="31"/>
  <c r="F1125" i="31"/>
  <c r="F1124" i="31" s="1"/>
  <c r="F1123" i="31" s="1"/>
  <c r="G1124" i="31"/>
  <c r="G1123" i="31" s="1"/>
  <c r="H1121" i="31"/>
  <c r="G1121" i="31"/>
  <c r="G1120" i="31" s="1"/>
  <c r="G1119" i="31" s="1"/>
  <c r="F1121" i="31"/>
  <c r="F1120" i="31" s="1"/>
  <c r="F1119" i="31" s="1"/>
  <c r="H1120" i="31"/>
  <c r="H1119" i="31" s="1"/>
  <c r="H1117" i="31"/>
  <c r="H1116" i="31" s="1"/>
  <c r="H1115" i="31" s="1"/>
  <c r="G1117" i="31"/>
  <c r="G1116" i="31" s="1"/>
  <c r="G1115" i="31" s="1"/>
  <c r="F1117" i="31"/>
  <c r="F1116" i="31" s="1"/>
  <c r="F1115" i="31" s="1"/>
  <c r="F1114" i="31"/>
  <c r="H1113" i="31"/>
  <c r="H1112" i="31" s="1"/>
  <c r="G1113" i="31"/>
  <c r="F1113" i="31"/>
  <c r="F1112" i="31" s="1"/>
  <c r="F1111" i="31" s="1"/>
  <c r="G1112" i="31"/>
  <c r="G1111" i="31" s="1"/>
  <c r="H1111" i="31"/>
  <c r="F1110" i="31"/>
  <c r="H1109" i="31"/>
  <c r="H1108" i="31" s="1"/>
  <c r="H1107" i="31" s="1"/>
  <c r="G1109" i="31"/>
  <c r="G1108" i="31" s="1"/>
  <c r="G1107" i="31" s="1"/>
  <c r="F1109" i="31"/>
  <c r="F1108" i="31" s="1"/>
  <c r="F1107" i="31" s="1"/>
  <c r="H1105" i="31"/>
  <c r="H1104" i="31" s="1"/>
  <c r="H1103" i="31" s="1"/>
  <c r="G1105" i="31"/>
  <c r="G1104" i="31" s="1"/>
  <c r="G1103" i="31" s="1"/>
  <c r="F1105" i="31"/>
  <c r="F1104" i="31" s="1"/>
  <c r="F1103" i="31" s="1"/>
  <c r="F1102" i="31"/>
  <c r="H1101" i="31"/>
  <c r="H1100" i="31" s="1"/>
  <c r="H1099" i="31" s="1"/>
  <c r="G1101" i="31"/>
  <c r="G1100" i="31" s="1"/>
  <c r="G1099" i="31" s="1"/>
  <c r="F1101" i="31"/>
  <c r="F1100" i="31" s="1"/>
  <c r="F1099" i="31" s="1"/>
  <c r="H1096" i="31"/>
  <c r="H1095" i="31" s="1"/>
  <c r="H1094" i="31" s="1"/>
  <c r="H1093" i="31" s="1"/>
  <c r="G1096" i="31"/>
  <c r="G1095" i="31" s="1"/>
  <c r="G1094" i="31" s="1"/>
  <c r="G1093" i="31" s="1"/>
  <c r="F1096" i="31"/>
  <c r="F1095" i="31" s="1"/>
  <c r="F1094" i="31" s="1"/>
  <c r="F1093" i="31" s="1"/>
  <c r="H1091" i="31"/>
  <c r="H1090" i="31" s="1"/>
  <c r="H1089" i="31" s="1"/>
  <c r="H1088" i="31" s="1"/>
  <c r="G1091" i="31"/>
  <c r="G1090" i="31" s="1"/>
  <c r="G1089" i="31" s="1"/>
  <c r="F1091" i="31"/>
  <c r="F1090" i="31" s="1"/>
  <c r="F1089" i="31" s="1"/>
  <c r="F1088" i="31" s="1"/>
  <c r="G1088" i="31"/>
  <c r="H1086" i="31"/>
  <c r="H1085" i="31" s="1"/>
  <c r="H1084" i="31" s="1"/>
  <c r="H1083" i="31" s="1"/>
  <c r="G1086" i="31"/>
  <c r="G1085" i="31" s="1"/>
  <c r="G1084" i="31" s="1"/>
  <c r="F1086" i="31"/>
  <c r="F1085" i="31" s="1"/>
  <c r="F1084" i="31" s="1"/>
  <c r="F1083" i="31" s="1"/>
  <c r="G1083" i="31"/>
  <c r="H1082" i="31"/>
  <c r="G1082" i="31"/>
  <c r="G1081" i="31" s="1"/>
  <c r="G1080" i="31" s="1"/>
  <c r="G1079" i="31" s="1"/>
  <c r="G1078" i="31" s="1"/>
  <c r="F1082" i="31"/>
  <c r="F1081" i="31" s="1"/>
  <c r="F1080" i="31" s="1"/>
  <c r="F1079" i="31" s="1"/>
  <c r="F1078" i="31" s="1"/>
  <c r="H1081" i="31"/>
  <c r="H1080" i="31" s="1"/>
  <c r="H1079" i="31" s="1"/>
  <c r="H1078" i="31" s="1"/>
  <c r="F1076" i="31"/>
  <c r="F1075" i="31" s="1"/>
  <c r="F1074" i="31" s="1"/>
  <c r="F1073" i="31" s="1"/>
  <c r="F1072" i="31" s="1"/>
  <c r="H1075" i="31"/>
  <c r="H1074" i="31" s="1"/>
  <c r="H1073" i="31" s="1"/>
  <c r="H1072" i="31" s="1"/>
  <c r="G1075" i="31"/>
  <c r="G1074" i="31"/>
  <c r="G1073" i="31" s="1"/>
  <c r="G1072" i="31" s="1"/>
  <c r="H1071" i="31"/>
  <c r="F1071" i="31"/>
  <c r="H1070" i="31"/>
  <c r="H1069" i="31" s="1"/>
  <c r="H1068" i="31" s="1"/>
  <c r="H1067" i="31" s="1"/>
  <c r="G1070" i="31"/>
  <c r="G1069" i="31" s="1"/>
  <c r="G1068" i="31" s="1"/>
  <c r="G1067" i="31" s="1"/>
  <c r="F1070" i="31"/>
  <c r="F1069" i="31" s="1"/>
  <c r="F1068" i="31" s="1"/>
  <c r="F1067" i="31" s="1"/>
  <c r="H1064" i="31"/>
  <c r="H1063" i="31" s="1"/>
  <c r="H1062" i="31" s="1"/>
  <c r="H1061" i="31" s="1"/>
  <c r="G1064" i="31"/>
  <c r="G1063" i="31" s="1"/>
  <c r="G1062" i="31" s="1"/>
  <c r="G1061" i="31" s="1"/>
  <c r="F1064" i="31"/>
  <c r="F1063" i="31" s="1"/>
  <c r="F1062" i="31" s="1"/>
  <c r="F1061" i="31" s="1"/>
  <c r="H1059" i="31"/>
  <c r="H1058" i="31" s="1"/>
  <c r="H1057" i="31" s="1"/>
  <c r="H1056" i="31" s="1"/>
  <c r="G1059" i="31"/>
  <c r="G1058" i="31" s="1"/>
  <c r="G1057" i="31" s="1"/>
  <c r="G1056" i="31" s="1"/>
  <c r="F1059" i="31"/>
  <c r="F1058" i="31" s="1"/>
  <c r="F1057" i="31" s="1"/>
  <c r="F1056" i="31" s="1"/>
  <c r="H1054" i="31"/>
  <c r="H1053" i="31" s="1"/>
  <c r="H1052" i="31" s="1"/>
  <c r="H1051" i="31" s="1"/>
  <c r="G1054" i="31"/>
  <c r="G1053" i="31" s="1"/>
  <c r="G1052" i="31" s="1"/>
  <c r="G1051" i="31" s="1"/>
  <c r="F1054" i="31"/>
  <c r="F1053" i="31" s="1"/>
  <c r="F1052" i="31" s="1"/>
  <c r="F1051" i="31" s="1"/>
  <c r="H1050" i="31"/>
  <c r="G1050" i="31"/>
  <c r="G1049" i="31" s="1"/>
  <c r="G1048" i="31" s="1"/>
  <c r="G1047" i="31" s="1"/>
  <c r="G1046" i="31" s="1"/>
  <c r="G1045" i="31" s="1"/>
  <c r="F1050" i="31"/>
  <c r="F1049" i="31" s="1"/>
  <c r="F1048" i="31" s="1"/>
  <c r="F1047" i="31" s="1"/>
  <c r="F1046" i="31" s="1"/>
  <c r="F1045" i="31" s="1"/>
  <c r="H1049" i="31"/>
  <c r="H1048" i="31" s="1"/>
  <c r="H1047" i="31" s="1"/>
  <c r="H1046" i="31" s="1"/>
  <c r="H1045" i="31" s="1"/>
  <c r="H1043" i="31"/>
  <c r="H1042" i="31" s="1"/>
  <c r="H1041" i="31" s="1"/>
  <c r="H1040" i="31" s="1"/>
  <c r="H1039" i="31" s="1"/>
  <c r="G1043" i="31"/>
  <c r="G1042" i="31" s="1"/>
  <c r="G1041" i="31" s="1"/>
  <c r="G1040" i="31" s="1"/>
  <c r="G1039" i="31" s="1"/>
  <c r="F1043" i="31"/>
  <c r="F1042" i="31" s="1"/>
  <c r="F1041" i="31" s="1"/>
  <c r="F1040" i="31" s="1"/>
  <c r="F1039" i="31" s="1"/>
  <c r="F1038" i="31"/>
  <c r="F1037" i="31" s="1"/>
  <c r="F1036" i="31" s="1"/>
  <c r="H1037" i="31"/>
  <c r="H1036" i="31" s="1"/>
  <c r="H1035" i="31" s="1"/>
  <c r="H1034" i="31" s="1"/>
  <c r="G1037" i="31"/>
  <c r="G1036" i="31" s="1"/>
  <c r="G1035" i="31" s="1"/>
  <c r="G1034" i="31" s="1"/>
  <c r="F1035" i="31"/>
  <c r="F1034" i="31" s="1"/>
  <c r="H1032" i="31"/>
  <c r="H1031" i="31" s="1"/>
  <c r="H1030" i="31" s="1"/>
  <c r="H1029" i="31" s="1"/>
  <c r="H1028" i="31" s="1"/>
  <c r="G1032" i="31"/>
  <c r="G1031" i="31" s="1"/>
  <c r="G1030" i="31" s="1"/>
  <c r="G1029" i="31" s="1"/>
  <c r="G1028" i="31" s="1"/>
  <c r="F1032" i="31"/>
  <c r="F1031" i="31" s="1"/>
  <c r="F1030" i="31" s="1"/>
  <c r="F1029" i="31" s="1"/>
  <c r="F1028" i="31" s="1"/>
  <c r="F1027" i="31"/>
  <c r="F1026" i="31" s="1"/>
  <c r="F1025" i="31" s="1"/>
  <c r="F1024" i="31" s="1"/>
  <c r="F1023" i="31" s="1"/>
  <c r="H1026" i="31"/>
  <c r="H1025" i="31" s="1"/>
  <c r="H1024" i="31" s="1"/>
  <c r="H1023" i="31" s="1"/>
  <c r="G1026" i="31"/>
  <c r="G1025" i="31"/>
  <c r="G1024" i="31" s="1"/>
  <c r="G1023" i="31" s="1"/>
  <c r="H1021" i="31"/>
  <c r="H1020" i="31" s="1"/>
  <c r="H1019" i="31" s="1"/>
  <c r="H1018" i="31" s="1"/>
  <c r="G1021" i="31"/>
  <c r="G1020" i="31" s="1"/>
  <c r="G1019" i="31" s="1"/>
  <c r="G1018" i="31" s="1"/>
  <c r="F1021" i="31"/>
  <c r="F1020" i="31" s="1"/>
  <c r="F1019" i="31" s="1"/>
  <c r="F1018" i="31" s="1"/>
  <c r="F1017" i="31"/>
  <c r="H1016" i="31"/>
  <c r="H1015" i="31" s="1"/>
  <c r="H1014" i="31" s="1"/>
  <c r="H1013" i="31" s="1"/>
  <c r="G1016" i="31"/>
  <c r="G1015" i="31" s="1"/>
  <c r="G1014" i="31" s="1"/>
  <c r="G1013" i="31" s="1"/>
  <c r="F1016" i="31"/>
  <c r="F1015" i="31" s="1"/>
  <c r="F1014" i="31" s="1"/>
  <c r="F1013" i="31" s="1"/>
  <c r="H1011" i="31"/>
  <c r="H1010" i="31" s="1"/>
  <c r="H1009" i="31" s="1"/>
  <c r="H1008" i="31" s="1"/>
  <c r="G1011" i="31"/>
  <c r="G1010" i="31" s="1"/>
  <c r="G1009" i="31" s="1"/>
  <c r="G1008" i="31" s="1"/>
  <c r="F1011" i="31"/>
  <c r="F1010" i="31" s="1"/>
  <c r="F1009" i="31" s="1"/>
  <c r="F1008" i="31" s="1"/>
  <c r="H1006" i="31"/>
  <c r="G1006" i="31"/>
  <c r="F1006" i="31"/>
  <c r="H1005" i="31"/>
  <c r="H1004" i="31" s="1"/>
  <c r="G1005" i="31"/>
  <c r="F1005" i="31"/>
  <c r="G1004" i="31"/>
  <c r="F1004" i="31"/>
  <c r="H999" i="31"/>
  <c r="H998" i="31" s="1"/>
  <c r="H997" i="31" s="1"/>
  <c r="H996" i="31" s="1"/>
  <c r="G999" i="31"/>
  <c r="G998" i="31" s="1"/>
  <c r="G997" i="31" s="1"/>
  <c r="G996" i="31" s="1"/>
  <c r="F999" i="31"/>
  <c r="F998" i="31" s="1"/>
  <c r="F997" i="31" s="1"/>
  <c r="F996" i="31" s="1"/>
  <c r="H994" i="31"/>
  <c r="H993" i="31" s="1"/>
  <c r="H992" i="31" s="1"/>
  <c r="H991" i="31" s="1"/>
  <c r="G994" i="31"/>
  <c r="G993" i="31" s="1"/>
  <c r="G992" i="31" s="1"/>
  <c r="G991" i="31" s="1"/>
  <c r="F994" i="31"/>
  <c r="F993" i="31" s="1"/>
  <c r="F992" i="31" s="1"/>
  <c r="F991" i="31" s="1"/>
  <c r="F990" i="31"/>
  <c r="F989" i="31" s="1"/>
  <c r="F988" i="31" s="1"/>
  <c r="F987" i="31" s="1"/>
  <c r="F986" i="31" s="1"/>
  <c r="H989" i="31"/>
  <c r="G989" i="31"/>
  <c r="G988" i="31" s="1"/>
  <c r="G987" i="31" s="1"/>
  <c r="G986" i="31" s="1"/>
  <c r="H988" i="31"/>
  <c r="H987" i="31" s="1"/>
  <c r="H986" i="31" s="1"/>
  <c r="H984" i="31"/>
  <c r="G984" i="31"/>
  <c r="F984" i="31"/>
  <c r="H983" i="31"/>
  <c r="H982" i="31" s="1"/>
  <c r="G983" i="31"/>
  <c r="G982" i="31" s="1"/>
  <c r="F983" i="31"/>
  <c r="F982" i="31"/>
  <c r="H981" i="31"/>
  <c r="G981" i="31"/>
  <c r="F981" i="31"/>
  <c r="F980" i="31" s="1"/>
  <c r="H980" i="31"/>
  <c r="G980" i="31"/>
  <c r="F976" i="31"/>
  <c r="H975" i="31"/>
  <c r="H974" i="31" s="1"/>
  <c r="H973" i="31" s="1"/>
  <c r="H972" i="31" s="1"/>
  <c r="G975" i="31"/>
  <c r="G974" i="31" s="1"/>
  <c r="G973" i="31" s="1"/>
  <c r="G972" i="31" s="1"/>
  <c r="F975" i="31"/>
  <c r="F974" i="31" s="1"/>
  <c r="F973" i="31" s="1"/>
  <c r="F972" i="31" s="1"/>
  <c r="H970" i="31"/>
  <c r="H969" i="31" s="1"/>
  <c r="H968" i="31" s="1"/>
  <c r="H967" i="31" s="1"/>
  <c r="G970" i="31"/>
  <c r="G969" i="31" s="1"/>
  <c r="G968" i="31" s="1"/>
  <c r="G967" i="31" s="1"/>
  <c r="F970" i="31"/>
  <c r="F969" i="31" s="1"/>
  <c r="F968" i="31" s="1"/>
  <c r="F967" i="31"/>
  <c r="F966" i="31"/>
  <c r="H965" i="31"/>
  <c r="H964" i="31" s="1"/>
  <c r="H963" i="31" s="1"/>
  <c r="H962" i="31" s="1"/>
  <c r="G965" i="31"/>
  <c r="G964" i="31" s="1"/>
  <c r="G963" i="31" s="1"/>
  <c r="G962" i="31" s="1"/>
  <c r="F965" i="31"/>
  <c r="F964" i="31" s="1"/>
  <c r="F963" i="31" s="1"/>
  <c r="F962" i="31" s="1"/>
  <c r="F960" i="31"/>
  <c r="H959" i="31"/>
  <c r="H958" i="31" s="1"/>
  <c r="H957" i="31" s="1"/>
  <c r="H956" i="31" s="1"/>
  <c r="G959" i="31"/>
  <c r="G958" i="31" s="1"/>
  <c r="G957" i="31" s="1"/>
  <c r="G956" i="31" s="1"/>
  <c r="F959" i="31"/>
  <c r="F958" i="31" s="1"/>
  <c r="F957" i="31" s="1"/>
  <c r="F956" i="31" s="1"/>
  <c r="H954" i="31"/>
  <c r="G954" i="31"/>
  <c r="F954" i="31"/>
  <c r="H953" i="31"/>
  <c r="G953" i="31"/>
  <c r="G952" i="31" s="1"/>
  <c r="F953" i="31"/>
  <c r="F952" i="31" s="1"/>
  <c r="H952" i="31"/>
  <c r="H951" i="31"/>
  <c r="H950" i="31" s="1"/>
  <c r="G951" i="31"/>
  <c r="F951" i="31"/>
  <c r="G950" i="31"/>
  <c r="F950" i="31"/>
  <c r="H945" i="31"/>
  <c r="G945" i="31"/>
  <c r="F945" i="31"/>
  <c r="H944" i="31"/>
  <c r="H943" i="31" s="1"/>
  <c r="G944" i="31"/>
  <c r="G943" i="31" s="1"/>
  <c r="F944" i="31"/>
  <c r="F943" i="31"/>
  <c r="H942" i="31"/>
  <c r="G942" i="31"/>
  <c r="F942" i="31"/>
  <c r="F941" i="31" s="1"/>
  <c r="H941" i="31"/>
  <c r="G941" i="31"/>
  <c r="H940" i="31"/>
  <c r="H939" i="31" s="1"/>
  <c r="H938" i="31" s="1"/>
  <c r="F937" i="31"/>
  <c r="H936" i="31"/>
  <c r="H935" i="31" s="1"/>
  <c r="H934" i="31" s="1"/>
  <c r="H933" i="31" s="1"/>
  <c r="G936" i="31"/>
  <c r="G935" i="31" s="1"/>
  <c r="G934" i="31" s="1"/>
  <c r="G933" i="31" s="1"/>
  <c r="F936" i="31"/>
  <c r="F935" i="31" s="1"/>
  <c r="F934" i="31" s="1"/>
  <c r="F933" i="31" s="1"/>
  <c r="H931" i="31"/>
  <c r="H930" i="31" s="1"/>
  <c r="H929" i="31" s="1"/>
  <c r="H928" i="31" s="1"/>
  <c r="G931" i="31"/>
  <c r="G930" i="31" s="1"/>
  <c r="G929" i="31" s="1"/>
  <c r="G928" i="31" s="1"/>
  <c r="F931" i="31"/>
  <c r="F930" i="31" s="1"/>
  <c r="F929" i="31" s="1"/>
  <c r="F928" i="31" s="1"/>
  <c r="F927" i="31"/>
  <c r="H926" i="31"/>
  <c r="H925" i="31" s="1"/>
  <c r="H924" i="31" s="1"/>
  <c r="G926" i="31"/>
  <c r="G925" i="31" s="1"/>
  <c r="G924" i="31" s="1"/>
  <c r="F926" i="31"/>
  <c r="F925" i="31" s="1"/>
  <c r="F924" i="31" s="1"/>
  <c r="F921" i="31"/>
  <c r="H920" i="31"/>
  <c r="G920" i="31"/>
  <c r="F920" i="31"/>
  <c r="H918" i="31"/>
  <c r="G918" i="31"/>
  <c r="F918" i="31"/>
  <c r="H914" i="31"/>
  <c r="G914" i="31"/>
  <c r="F914" i="31"/>
  <c r="F913" i="31" s="1"/>
  <c r="F912" i="31" s="1"/>
  <c r="F911" i="31" s="1"/>
  <c r="H913" i="31"/>
  <c r="H912" i="31" s="1"/>
  <c r="H911" i="31" s="1"/>
  <c r="G913" i="31"/>
  <c r="G912" i="31"/>
  <c r="G911" i="31" s="1"/>
  <c r="F908" i="31"/>
  <c r="F907" i="31" s="1"/>
  <c r="H907" i="31"/>
  <c r="G907" i="31"/>
  <c r="H906" i="31"/>
  <c r="H905" i="31" s="1"/>
  <c r="G906" i="31"/>
  <c r="F906" i="31"/>
  <c r="G905" i="31"/>
  <c r="G904" i="31" s="1"/>
  <c r="G903" i="31" s="1"/>
  <c r="F905" i="31"/>
  <c r="H902" i="31"/>
  <c r="H901" i="31" s="1"/>
  <c r="H900" i="31" s="1"/>
  <c r="H899" i="31" s="1"/>
  <c r="G902" i="31"/>
  <c r="F902" i="31"/>
  <c r="G901" i="31"/>
  <c r="G900" i="31" s="1"/>
  <c r="G899" i="31" s="1"/>
  <c r="G898" i="31" s="1"/>
  <c r="F901" i="31"/>
  <c r="F900" i="31" s="1"/>
  <c r="F899" i="31" s="1"/>
  <c r="H896" i="31"/>
  <c r="G896" i="31"/>
  <c r="F896" i="31"/>
  <c r="H894" i="31"/>
  <c r="G894" i="31"/>
  <c r="F894" i="31"/>
  <c r="F890" i="31"/>
  <c r="H889" i="31"/>
  <c r="G889" i="31"/>
  <c r="G888" i="31" s="1"/>
  <c r="F889" i="31"/>
  <c r="F888" i="31" s="1"/>
  <c r="H883" i="31"/>
  <c r="G883" i="31"/>
  <c r="F883" i="31"/>
  <c r="H881" i="31"/>
  <c r="G881" i="31"/>
  <c r="F881" i="31"/>
  <c r="F877" i="31"/>
  <c r="H876" i="31"/>
  <c r="H875" i="31" s="1"/>
  <c r="H874" i="31" s="1"/>
  <c r="G876" i="31"/>
  <c r="F876" i="31"/>
  <c r="H870" i="31"/>
  <c r="H869" i="31" s="1"/>
  <c r="H868" i="31" s="1"/>
  <c r="H867" i="31" s="1"/>
  <c r="G870" i="31"/>
  <c r="G869" i="31" s="1"/>
  <c r="G868" i="31" s="1"/>
  <c r="G867" i="31" s="1"/>
  <c r="F870" i="31"/>
  <c r="F869" i="31" s="1"/>
  <c r="F868" i="31" s="1"/>
  <c r="F867" i="31" s="1"/>
  <c r="H865" i="31"/>
  <c r="G865" i="31"/>
  <c r="F865" i="31"/>
  <c r="H863" i="31"/>
  <c r="G863" i="31"/>
  <c r="F863" i="31"/>
  <c r="F860" i="31"/>
  <c r="H859" i="31"/>
  <c r="H858" i="31" s="1"/>
  <c r="H857" i="31" s="1"/>
  <c r="G859" i="31"/>
  <c r="G858" i="31" s="1"/>
  <c r="G857" i="31" s="1"/>
  <c r="F859" i="31"/>
  <c r="F858" i="31" s="1"/>
  <c r="F857" i="31" s="1"/>
  <c r="F855" i="31"/>
  <c r="H854" i="31"/>
  <c r="H853" i="31" s="1"/>
  <c r="H852" i="31" s="1"/>
  <c r="H851" i="31" s="1"/>
  <c r="G854" i="31"/>
  <c r="G853" i="31" s="1"/>
  <c r="G852" i="31" s="1"/>
  <c r="G851" i="31" s="1"/>
  <c r="F854" i="31"/>
  <c r="F853" i="31" s="1"/>
  <c r="F852" i="31" s="1"/>
  <c r="F851" i="31" s="1"/>
  <c r="F849" i="31"/>
  <c r="H848" i="31"/>
  <c r="H847" i="31" s="1"/>
  <c r="H846" i="31" s="1"/>
  <c r="H845" i="31" s="1"/>
  <c r="G848" i="31"/>
  <c r="G847" i="31" s="1"/>
  <c r="G846" i="31" s="1"/>
  <c r="G845" i="31" s="1"/>
  <c r="F848" i="31"/>
  <c r="F847" i="31"/>
  <c r="F846" i="31" s="1"/>
  <c r="F845" i="31" s="1"/>
  <c r="F844" i="31"/>
  <c r="F843" i="31" s="1"/>
  <c r="F842" i="31" s="1"/>
  <c r="F841" i="31" s="1"/>
  <c r="F840" i="31" s="1"/>
  <c r="H843" i="31"/>
  <c r="H842" i="31" s="1"/>
  <c r="H841" i="31" s="1"/>
  <c r="H840" i="31" s="1"/>
  <c r="G843" i="31"/>
  <c r="G842" i="31"/>
  <c r="G841" i="31" s="1"/>
  <c r="G840" i="31" s="1"/>
  <c r="H837" i="31"/>
  <c r="H836" i="31" s="1"/>
  <c r="H835" i="31" s="1"/>
  <c r="H834" i="31" s="1"/>
  <c r="G837" i="31"/>
  <c r="G836" i="31" s="1"/>
  <c r="G835" i="31" s="1"/>
  <c r="G834" i="31" s="1"/>
  <c r="F837" i="31"/>
  <c r="F836" i="31" s="1"/>
  <c r="F835" i="31" s="1"/>
  <c r="F834" i="31" s="1"/>
  <c r="H832" i="31"/>
  <c r="H831" i="31" s="1"/>
  <c r="H830" i="31" s="1"/>
  <c r="H829" i="31" s="1"/>
  <c r="G832" i="31"/>
  <c r="G831" i="31" s="1"/>
  <c r="G830" i="31" s="1"/>
  <c r="G829" i="31" s="1"/>
  <c r="F832" i="31"/>
  <c r="F831" i="31" s="1"/>
  <c r="F830" i="31" s="1"/>
  <c r="F829" i="31" s="1"/>
  <c r="H826" i="31"/>
  <c r="H825" i="31" s="1"/>
  <c r="H824" i="31" s="1"/>
  <c r="H823" i="31" s="1"/>
  <c r="H822" i="31" s="1"/>
  <c r="G826" i="31"/>
  <c r="G825" i="31" s="1"/>
  <c r="G824" i="31" s="1"/>
  <c r="G823" i="31" s="1"/>
  <c r="G822" i="31" s="1"/>
  <c r="F826" i="31"/>
  <c r="F825" i="31" s="1"/>
  <c r="F824" i="31" s="1"/>
  <c r="F823" i="31" s="1"/>
  <c r="F822" i="31" s="1"/>
  <c r="H820" i="31"/>
  <c r="H819" i="31" s="1"/>
  <c r="H818" i="31" s="1"/>
  <c r="H817" i="31" s="1"/>
  <c r="H816" i="31" s="1"/>
  <c r="G820" i="31"/>
  <c r="G819" i="31" s="1"/>
  <c r="G818" i="31" s="1"/>
  <c r="G817" i="31" s="1"/>
  <c r="G816" i="31" s="1"/>
  <c r="F820" i="31"/>
  <c r="F819" i="31" s="1"/>
  <c r="F818" i="31" s="1"/>
  <c r="F817" i="31" s="1"/>
  <c r="F816" i="31" s="1"/>
  <c r="H814" i="31"/>
  <c r="H813" i="31" s="1"/>
  <c r="H812" i="31" s="1"/>
  <c r="H811" i="31" s="1"/>
  <c r="H810" i="31" s="1"/>
  <c r="G814" i="31"/>
  <c r="G813" i="31" s="1"/>
  <c r="G812" i="31" s="1"/>
  <c r="G811" i="31" s="1"/>
  <c r="G810" i="31" s="1"/>
  <c r="F814" i="31"/>
  <c r="F813" i="31" s="1"/>
  <c r="F812" i="31" s="1"/>
  <c r="F811" i="31" s="1"/>
  <c r="F810" i="31" s="1"/>
  <c r="H807" i="31"/>
  <c r="G807" i="31"/>
  <c r="F807" i="31"/>
  <c r="F806" i="31"/>
  <c r="H805" i="31"/>
  <c r="H804" i="31" s="1"/>
  <c r="H803" i="31" s="1"/>
  <c r="H802" i="31" s="1"/>
  <c r="G805" i="31"/>
  <c r="F805" i="31"/>
  <c r="F804" i="31" s="1"/>
  <c r="F803" i="31" s="1"/>
  <c r="F802" i="31" s="1"/>
  <c r="H801" i="31"/>
  <c r="G801" i="31"/>
  <c r="F801" i="31"/>
  <c r="H800" i="31"/>
  <c r="H799" i="31" s="1"/>
  <c r="H798" i="31" s="1"/>
  <c r="H797" i="31" s="1"/>
  <c r="H796" i="31" s="1"/>
  <c r="G800" i="31"/>
  <c r="G799" i="31" s="1"/>
  <c r="G798" i="31" s="1"/>
  <c r="G797" i="31" s="1"/>
  <c r="G796" i="31" s="1"/>
  <c r="F800" i="31"/>
  <c r="F799" i="31"/>
  <c r="F798" i="31" s="1"/>
  <c r="F797" i="31" s="1"/>
  <c r="F796" i="31" s="1"/>
  <c r="H794" i="31"/>
  <c r="G794" i="31"/>
  <c r="F794" i="31"/>
  <c r="F793" i="31" s="1"/>
  <c r="F792" i="31" s="1"/>
  <c r="F791" i="31" s="1"/>
  <c r="F790" i="31" s="1"/>
  <c r="F789" i="31" s="1"/>
  <c r="F788" i="31" s="1"/>
  <c r="H793" i="31"/>
  <c r="H792" i="31" s="1"/>
  <c r="H791" i="31" s="1"/>
  <c r="H790" i="31" s="1"/>
  <c r="H789" i="31" s="1"/>
  <c r="H788" i="31" s="1"/>
  <c r="G793" i="31"/>
  <c r="G792" i="31" s="1"/>
  <c r="G791" i="31" s="1"/>
  <c r="G790" i="31" s="1"/>
  <c r="G789" i="31" s="1"/>
  <c r="G788" i="31" s="1"/>
  <c r="H787" i="31"/>
  <c r="G787" i="31"/>
  <c r="G786" i="31" s="1"/>
  <c r="G785" i="31" s="1"/>
  <c r="G784" i="31" s="1"/>
  <c r="G783" i="31" s="1"/>
  <c r="G782" i="31" s="1"/>
  <c r="H786" i="31"/>
  <c r="H785" i="31" s="1"/>
  <c r="H784" i="31" s="1"/>
  <c r="H783" i="31" s="1"/>
  <c r="H782" i="31" s="1"/>
  <c r="F786" i="31"/>
  <c r="F785" i="31" s="1"/>
  <c r="F784" i="31" s="1"/>
  <c r="F783" i="31" s="1"/>
  <c r="F782" i="31" s="1"/>
  <c r="H781" i="31"/>
  <c r="H780" i="31" s="1"/>
  <c r="H779" i="31" s="1"/>
  <c r="H778" i="31" s="1"/>
  <c r="H777" i="31" s="1"/>
  <c r="H776" i="31" s="1"/>
  <c r="G781" i="31"/>
  <c r="F781" i="31"/>
  <c r="G780" i="31"/>
  <c r="G779" i="31" s="1"/>
  <c r="G778" i="31" s="1"/>
  <c r="G777" i="31" s="1"/>
  <c r="G776" i="31" s="1"/>
  <c r="F780" i="31"/>
  <c r="F779" i="31"/>
  <c r="F778" i="31" s="1"/>
  <c r="F777" i="31" s="1"/>
  <c r="F776" i="31" s="1"/>
  <c r="H773" i="31"/>
  <c r="H772" i="31" s="1"/>
  <c r="H771" i="31" s="1"/>
  <c r="H770" i="31" s="1"/>
  <c r="G773" i="31"/>
  <c r="G772" i="31" s="1"/>
  <c r="G771" i="31" s="1"/>
  <c r="G770" i="31" s="1"/>
  <c r="F773" i="31"/>
  <c r="F772" i="31" s="1"/>
  <c r="F771" i="31" s="1"/>
  <c r="F770" i="31"/>
  <c r="H769" i="31"/>
  <c r="G769" i="31"/>
  <c r="H768" i="31"/>
  <c r="H767" i="31" s="1"/>
  <c r="H766" i="31" s="1"/>
  <c r="H765" i="31" s="1"/>
  <c r="G768" i="31"/>
  <c r="G767" i="31" s="1"/>
  <c r="G766" i="31" s="1"/>
  <c r="G765" i="31" s="1"/>
  <c r="F768" i="31"/>
  <c r="F767" i="31" s="1"/>
  <c r="F766" i="31" s="1"/>
  <c r="F765" i="31" s="1"/>
  <c r="G764" i="31"/>
  <c r="G763" i="31" s="1"/>
  <c r="G762" i="31" s="1"/>
  <c r="G761" i="31" s="1"/>
  <c r="G760" i="31" s="1"/>
  <c r="H763" i="31"/>
  <c r="H762" i="31" s="1"/>
  <c r="H761" i="31" s="1"/>
  <c r="H760" i="31" s="1"/>
  <c r="F763" i="31"/>
  <c r="F762" i="31" s="1"/>
  <c r="F761" i="31" s="1"/>
  <c r="F760" i="31" s="1"/>
  <c r="H759" i="31"/>
  <c r="H758" i="31" s="1"/>
  <c r="H757" i="31" s="1"/>
  <c r="G759" i="31"/>
  <c r="G758" i="31"/>
  <c r="G757" i="31" s="1"/>
  <c r="G756" i="31" s="1"/>
  <c r="G755" i="31" s="1"/>
  <c r="F758" i="31"/>
  <c r="F757" i="31" s="1"/>
  <c r="F756" i="31" s="1"/>
  <c r="F755" i="31" s="1"/>
  <c r="H756" i="31"/>
  <c r="H755" i="31" s="1"/>
  <c r="H754" i="31"/>
  <c r="G754" i="31"/>
  <c r="G753" i="31" s="1"/>
  <c r="G752" i="31" s="1"/>
  <c r="G751" i="31" s="1"/>
  <c r="G750" i="31" s="1"/>
  <c r="F754" i="31"/>
  <c r="H753" i="31"/>
  <c r="H752" i="31" s="1"/>
  <c r="H751" i="31" s="1"/>
  <c r="H750" i="31" s="1"/>
  <c r="F753" i="31"/>
  <c r="F752" i="31" s="1"/>
  <c r="F751" i="31" s="1"/>
  <c r="F750" i="31" s="1"/>
  <c r="H749" i="31"/>
  <c r="G749" i="31"/>
  <c r="F749" i="31"/>
  <c r="F748" i="31" s="1"/>
  <c r="F747" i="31" s="1"/>
  <c r="F746" i="31" s="1"/>
  <c r="F745" i="31" s="1"/>
  <c r="H748" i="31"/>
  <c r="H747" i="31" s="1"/>
  <c r="H746" i="31" s="1"/>
  <c r="H745" i="31" s="1"/>
  <c r="G748" i="31"/>
  <c r="G747" i="31" s="1"/>
  <c r="G746" i="31" s="1"/>
  <c r="G745" i="31" s="1"/>
  <c r="G744" i="31"/>
  <c r="G743" i="31" s="1"/>
  <c r="G742" i="31" s="1"/>
  <c r="G741" i="31" s="1"/>
  <c r="G740" i="31" s="1"/>
  <c r="H743" i="31"/>
  <c r="H742" i="31" s="1"/>
  <c r="H741" i="31" s="1"/>
  <c r="H740" i="31" s="1"/>
  <c r="F743" i="31"/>
  <c r="F742" i="31" s="1"/>
  <c r="F741" i="31" s="1"/>
  <c r="F740" i="31" s="1"/>
  <c r="F739" i="31"/>
  <c r="H738" i="31"/>
  <c r="H737" i="31" s="1"/>
  <c r="H736" i="31" s="1"/>
  <c r="H735" i="31" s="1"/>
  <c r="G738" i="31"/>
  <c r="G737" i="31" s="1"/>
  <c r="G736" i="31" s="1"/>
  <c r="G735" i="31" s="1"/>
  <c r="F738" i="31"/>
  <c r="F737" i="31" s="1"/>
  <c r="F736" i="31" s="1"/>
  <c r="F735" i="31" s="1"/>
  <c r="F734" i="31"/>
  <c r="H733" i="31"/>
  <c r="H730" i="31" s="1"/>
  <c r="H729" i="31" s="1"/>
  <c r="H728" i="31" s="1"/>
  <c r="G733" i="31"/>
  <c r="F733" i="31"/>
  <c r="H731" i="31"/>
  <c r="G731" i="31"/>
  <c r="F731" i="31"/>
  <c r="H726" i="31"/>
  <c r="G726" i="31"/>
  <c r="F726" i="31"/>
  <c r="G725" i="31"/>
  <c r="F725" i="31"/>
  <c r="H724" i="31"/>
  <c r="G724" i="31"/>
  <c r="G723" i="31" s="1"/>
  <c r="G722" i="31" s="1"/>
  <c r="G721" i="31" s="1"/>
  <c r="F724" i="31"/>
  <c r="H719" i="31"/>
  <c r="H718" i="31" s="1"/>
  <c r="H717" i="31" s="1"/>
  <c r="H716" i="31" s="1"/>
  <c r="G719" i="31"/>
  <c r="G718" i="31" s="1"/>
  <c r="G717" i="31" s="1"/>
  <c r="G716" i="31" s="1"/>
  <c r="F719" i="31"/>
  <c r="F718" i="31" s="1"/>
  <c r="F717" i="31" s="1"/>
  <c r="F716" i="31" s="1"/>
  <c r="G715" i="31"/>
  <c r="G714" i="31" s="1"/>
  <c r="F715" i="31"/>
  <c r="F714" i="31" s="1"/>
  <c r="H714" i="31"/>
  <c r="F713" i="31"/>
  <c r="H712" i="31"/>
  <c r="G712" i="31"/>
  <c r="F712" i="31"/>
  <c r="H707" i="31"/>
  <c r="H706" i="31" s="1"/>
  <c r="H705" i="31" s="1"/>
  <c r="H704" i="31" s="1"/>
  <c r="G707" i="31"/>
  <c r="G706" i="31" s="1"/>
  <c r="G705" i="31" s="1"/>
  <c r="G704" i="31" s="1"/>
  <c r="F707" i="31"/>
  <c r="F706" i="31" s="1"/>
  <c r="F705" i="31" s="1"/>
  <c r="F704" i="31" s="1"/>
  <c r="H702" i="31"/>
  <c r="H701" i="31" s="1"/>
  <c r="H700" i="31" s="1"/>
  <c r="H699" i="31" s="1"/>
  <c r="G702" i="31"/>
  <c r="G701" i="31" s="1"/>
  <c r="G700" i="31" s="1"/>
  <c r="G699" i="31" s="1"/>
  <c r="F702" i="31"/>
  <c r="F701" i="31" s="1"/>
  <c r="F700" i="31" s="1"/>
  <c r="F699" i="31" s="1"/>
  <c r="F698" i="31"/>
  <c r="F697" i="31" s="1"/>
  <c r="H697" i="31"/>
  <c r="H694" i="31" s="1"/>
  <c r="H693" i="31" s="1"/>
  <c r="H692" i="31" s="1"/>
  <c r="G697" i="31"/>
  <c r="G694" i="31" s="1"/>
  <c r="G693" i="31" s="1"/>
  <c r="G692" i="31" s="1"/>
  <c r="F696" i="31"/>
  <c r="F695" i="31" s="1"/>
  <c r="H695" i="31"/>
  <c r="G695" i="31"/>
  <c r="G691" i="31"/>
  <c r="H690" i="31"/>
  <c r="H689" i="31" s="1"/>
  <c r="H688" i="31" s="1"/>
  <c r="H687" i="31" s="1"/>
  <c r="G690" i="31"/>
  <c r="G689" i="31" s="1"/>
  <c r="G688" i="31" s="1"/>
  <c r="G687" i="31" s="1"/>
  <c r="F690" i="31"/>
  <c r="F689" i="31" s="1"/>
  <c r="F688" i="31" s="1"/>
  <c r="F687" i="31" s="1"/>
  <c r="F686" i="31"/>
  <c r="F685" i="31" s="1"/>
  <c r="F684" i="31" s="1"/>
  <c r="F683" i="31" s="1"/>
  <c r="F682" i="31" s="1"/>
  <c r="H685" i="31"/>
  <c r="H684" i="31" s="1"/>
  <c r="H683" i="31" s="1"/>
  <c r="H682" i="31" s="1"/>
  <c r="G685" i="31"/>
  <c r="G684" i="31"/>
  <c r="G683" i="31" s="1"/>
  <c r="G682" i="31" s="1"/>
  <c r="F681" i="31"/>
  <c r="H680" i="31"/>
  <c r="H679" i="31" s="1"/>
  <c r="H678" i="31" s="1"/>
  <c r="H677" i="31" s="1"/>
  <c r="G680" i="31"/>
  <c r="G679" i="31" s="1"/>
  <c r="G678" i="31" s="1"/>
  <c r="G677" i="31" s="1"/>
  <c r="F680" i="31"/>
  <c r="F679" i="31" s="1"/>
  <c r="F678" i="31" s="1"/>
  <c r="F677" i="31" s="1"/>
  <c r="H674" i="31"/>
  <c r="H673" i="31" s="1"/>
  <c r="H672" i="31" s="1"/>
  <c r="H671" i="31" s="1"/>
  <c r="H670" i="31" s="1"/>
  <c r="G674" i="31"/>
  <c r="G673" i="31" s="1"/>
  <c r="G672" i="31" s="1"/>
  <c r="G671" i="31" s="1"/>
  <c r="G670" i="31" s="1"/>
  <c r="F674" i="31"/>
  <c r="F673" i="31"/>
  <c r="F672" i="31" s="1"/>
  <c r="F671" i="31" s="1"/>
  <c r="F670" i="31" s="1"/>
  <c r="H668" i="31"/>
  <c r="G668" i="31"/>
  <c r="F668" i="31"/>
  <c r="F667" i="31"/>
  <c r="H666" i="31"/>
  <c r="G666" i="31"/>
  <c r="F666" i="31"/>
  <c r="H664" i="31"/>
  <c r="G664" i="31"/>
  <c r="F664" i="31"/>
  <c r="H659" i="31"/>
  <c r="G659" i="31"/>
  <c r="F659" i="31"/>
  <c r="H657" i="31"/>
  <c r="G657" i="31"/>
  <c r="F657" i="31"/>
  <c r="F653" i="31"/>
  <c r="F652" i="31" s="1"/>
  <c r="F651" i="31" s="1"/>
  <c r="F650" i="31" s="1"/>
  <c r="F649" i="31" s="1"/>
  <c r="H652" i="31"/>
  <c r="H651" i="31" s="1"/>
  <c r="H650" i="31" s="1"/>
  <c r="H649" i="31" s="1"/>
  <c r="G652" i="31"/>
  <c r="G651" i="31" s="1"/>
  <c r="G650" i="31" s="1"/>
  <c r="G649" i="31" s="1"/>
  <c r="H645" i="31"/>
  <c r="H644" i="31" s="1"/>
  <c r="H643" i="31" s="1"/>
  <c r="H642" i="31" s="1"/>
  <c r="G645" i="31"/>
  <c r="G644" i="31" s="1"/>
  <c r="G643" i="31" s="1"/>
  <c r="G642" i="31" s="1"/>
  <c r="F645" i="31"/>
  <c r="F644" i="31" s="1"/>
  <c r="F643" i="31" s="1"/>
  <c r="F642" i="31" s="1"/>
  <c r="G641" i="31"/>
  <c r="G640" i="31" s="1"/>
  <c r="G639" i="31" s="1"/>
  <c r="G638" i="31" s="1"/>
  <c r="G637" i="31" s="1"/>
  <c r="H640" i="31"/>
  <c r="H639" i="31" s="1"/>
  <c r="H638" i="31" s="1"/>
  <c r="H637" i="31" s="1"/>
  <c r="F640" i="31"/>
  <c r="F639" i="31" s="1"/>
  <c r="F638" i="31" s="1"/>
  <c r="F637" i="31" s="1"/>
  <c r="H635" i="31"/>
  <c r="H634" i="31" s="1"/>
  <c r="H633" i="31" s="1"/>
  <c r="H632" i="31" s="1"/>
  <c r="G635" i="31"/>
  <c r="G634" i="31" s="1"/>
  <c r="G633" i="31" s="1"/>
  <c r="G632" i="31" s="1"/>
  <c r="F635" i="31"/>
  <c r="F634" i="31" s="1"/>
  <c r="F633" i="31" s="1"/>
  <c r="F632" i="31" s="1"/>
  <c r="F631" i="31"/>
  <c r="H630" i="31"/>
  <c r="G630" i="31"/>
  <c r="F630" i="31"/>
  <c r="H628" i="31"/>
  <c r="G628" i="31"/>
  <c r="F628" i="31"/>
  <c r="F627" i="31"/>
  <c r="F626" i="31" s="1"/>
  <c r="F625" i="31" s="1"/>
  <c r="F624" i="31" s="1"/>
  <c r="F623" i="31" s="1"/>
  <c r="F622" i="31" s="1"/>
  <c r="H626" i="31"/>
  <c r="G626" i="31"/>
  <c r="H620" i="31"/>
  <c r="H619" i="31" s="1"/>
  <c r="H618" i="31" s="1"/>
  <c r="H617" i="31" s="1"/>
  <c r="G620" i="31"/>
  <c r="G619" i="31" s="1"/>
  <c r="G618" i="31" s="1"/>
  <c r="G617" i="31" s="1"/>
  <c r="F620" i="31"/>
  <c r="F619" i="31" s="1"/>
  <c r="F618" i="31" s="1"/>
  <c r="F617" i="31" s="1"/>
  <c r="F616" i="31"/>
  <c r="H615" i="31"/>
  <c r="H614" i="31" s="1"/>
  <c r="H613" i="31" s="1"/>
  <c r="H612" i="31" s="1"/>
  <c r="G615" i="31"/>
  <c r="G614" i="31" s="1"/>
  <c r="G613" i="31" s="1"/>
  <c r="G612" i="31" s="1"/>
  <c r="F615" i="31"/>
  <c r="F614" i="31" s="1"/>
  <c r="F613" i="31" s="1"/>
  <c r="F612" i="31" s="1"/>
  <c r="F611" i="31"/>
  <c r="F610" i="31" s="1"/>
  <c r="F609" i="31" s="1"/>
  <c r="F608" i="31" s="1"/>
  <c r="F607" i="31" s="1"/>
  <c r="H610" i="31"/>
  <c r="H609" i="31" s="1"/>
  <c r="H608" i="31" s="1"/>
  <c r="H607" i="31" s="1"/>
  <c r="G610" i="31"/>
  <c r="G609" i="31" s="1"/>
  <c r="G608" i="31" s="1"/>
  <c r="G607" i="31" s="1"/>
  <c r="F606" i="31"/>
  <c r="H605" i="31"/>
  <c r="H604" i="31" s="1"/>
  <c r="H603" i="31" s="1"/>
  <c r="H602" i="31" s="1"/>
  <c r="G605" i="31"/>
  <c r="G604" i="31" s="1"/>
  <c r="G603" i="31" s="1"/>
  <c r="G602" i="31" s="1"/>
  <c r="F605" i="31"/>
  <c r="F604" i="31" s="1"/>
  <c r="F603" i="31" s="1"/>
  <c r="F602" i="31" s="1"/>
  <c r="F601" i="31"/>
  <c r="F600" i="31" s="1"/>
  <c r="F599" i="31" s="1"/>
  <c r="F598" i="31" s="1"/>
  <c r="F597" i="31" s="1"/>
  <c r="H600" i="31"/>
  <c r="H599" i="31" s="1"/>
  <c r="H598" i="31" s="1"/>
  <c r="H597" i="31" s="1"/>
  <c r="G600" i="31"/>
  <c r="G599" i="31"/>
  <c r="G598" i="31" s="1"/>
  <c r="G597" i="31" s="1"/>
  <c r="G595" i="31"/>
  <c r="G594" i="31" s="1"/>
  <c r="F595" i="31"/>
  <c r="H594" i="31"/>
  <c r="H593" i="31" s="1"/>
  <c r="H592" i="31" s="1"/>
  <c r="H591" i="31" s="1"/>
  <c r="F594" i="31"/>
  <c r="F593" i="31" s="1"/>
  <c r="F592" i="31" s="1"/>
  <c r="F591" i="31" s="1"/>
  <c r="G593" i="31"/>
  <c r="G592" i="31" s="1"/>
  <c r="G591" i="31" s="1"/>
  <c r="F590" i="31"/>
  <c r="F589" i="31" s="1"/>
  <c r="F588" i="31" s="1"/>
  <c r="F587" i="31" s="1"/>
  <c r="F586" i="31" s="1"/>
  <c r="H589" i="31"/>
  <c r="H588" i="31" s="1"/>
  <c r="H587" i="31" s="1"/>
  <c r="H586" i="31" s="1"/>
  <c r="G589" i="31"/>
  <c r="G588" i="31" s="1"/>
  <c r="G587" i="31" s="1"/>
  <c r="G586" i="31" s="1"/>
  <c r="H583" i="31"/>
  <c r="H582" i="31" s="1"/>
  <c r="H581" i="31" s="1"/>
  <c r="H580" i="31" s="1"/>
  <c r="G583" i="31"/>
  <c r="G582" i="31" s="1"/>
  <c r="G581" i="31" s="1"/>
  <c r="G580" i="31" s="1"/>
  <c r="F583" i="31"/>
  <c r="F582" i="31" s="1"/>
  <c r="F581" i="31" s="1"/>
  <c r="F580" i="31" s="1"/>
  <c r="G579" i="31"/>
  <c r="F579" i="31"/>
  <c r="H578" i="31"/>
  <c r="G578" i="31"/>
  <c r="F578" i="31"/>
  <c r="G577" i="31"/>
  <c r="F577" i="31"/>
  <c r="F576" i="31" s="1"/>
  <c r="H576" i="31"/>
  <c r="G576" i="31"/>
  <c r="H570" i="31"/>
  <c r="H569" i="31" s="1"/>
  <c r="G570" i="31"/>
  <c r="G569" i="31" s="1"/>
  <c r="F570" i="31"/>
  <c r="F569" i="31"/>
  <c r="H567" i="31"/>
  <c r="H566" i="31" s="1"/>
  <c r="H565" i="31" s="1"/>
  <c r="H564" i="31" s="1"/>
  <c r="G567" i="31"/>
  <c r="G566" i="31" s="1"/>
  <c r="G565" i="31" s="1"/>
  <c r="G564" i="31" s="1"/>
  <c r="F567" i="31"/>
  <c r="F566" i="31" s="1"/>
  <c r="F565" i="31" s="1"/>
  <c r="F564" i="31" s="1"/>
  <c r="G563" i="31"/>
  <c r="H562" i="31"/>
  <c r="G562" i="31"/>
  <c r="F562" i="31"/>
  <c r="G561" i="31"/>
  <c r="H560" i="31"/>
  <c r="H559" i="31" s="1"/>
  <c r="H558" i="31" s="1"/>
  <c r="H557" i="31" s="1"/>
  <c r="G560" i="31"/>
  <c r="G559" i="31" s="1"/>
  <c r="G558" i="31" s="1"/>
  <c r="G557" i="31" s="1"/>
  <c r="F560" i="31"/>
  <c r="F559" i="31" s="1"/>
  <c r="F558" i="31" s="1"/>
  <c r="F557" i="31" s="1"/>
  <c r="H554" i="31"/>
  <c r="H553" i="31" s="1"/>
  <c r="H552" i="31" s="1"/>
  <c r="H551" i="31" s="1"/>
  <c r="H550" i="31" s="1"/>
  <c r="G554" i="31"/>
  <c r="G553" i="31" s="1"/>
  <c r="G552" i="31" s="1"/>
  <c r="G551" i="31" s="1"/>
  <c r="G550" i="31" s="1"/>
  <c r="F554" i="31"/>
  <c r="F553" i="31" s="1"/>
  <c r="F552" i="31" s="1"/>
  <c r="F551" i="31" s="1"/>
  <c r="F550" i="31" s="1"/>
  <c r="H548" i="31"/>
  <c r="H547" i="31" s="1"/>
  <c r="H546" i="31" s="1"/>
  <c r="H545" i="31" s="1"/>
  <c r="H544" i="31" s="1"/>
  <c r="G548" i="31"/>
  <c r="G547" i="31" s="1"/>
  <c r="G546" i="31" s="1"/>
  <c r="G545" i="31" s="1"/>
  <c r="G544" i="31" s="1"/>
  <c r="F548" i="31"/>
  <c r="F547" i="31" s="1"/>
  <c r="F546" i="31" s="1"/>
  <c r="F545" i="31" s="1"/>
  <c r="F544" i="31" s="1"/>
  <c r="H541" i="31"/>
  <c r="G541" i="31"/>
  <c r="F541" i="31"/>
  <c r="H540" i="31"/>
  <c r="G540" i="31"/>
  <c r="F540" i="31"/>
  <c r="F539" i="31" s="1"/>
  <c r="H539" i="31"/>
  <c r="G539" i="31"/>
  <c r="H535" i="31"/>
  <c r="G535" i="31"/>
  <c r="G534" i="31" s="1"/>
  <c r="G533" i="31" s="1"/>
  <c r="G532" i="31" s="1"/>
  <c r="G531" i="31" s="1"/>
  <c r="F535" i="31"/>
  <c r="H534" i="31"/>
  <c r="H533" i="31" s="1"/>
  <c r="H532" i="31" s="1"/>
  <c r="H531" i="31" s="1"/>
  <c r="F534" i="31"/>
  <c r="F533" i="31" s="1"/>
  <c r="F532" i="31" s="1"/>
  <c r="F531" i="31" s="1"/>
  <c r="H526" i="31"/>
  <c r="H525" i="31" s="1"/>
  <c r="H524" i="31" s="1"/>
  <c r="H523" i="31" s="1"/>
  <c r="G526" i="31"/>
  <c r="G525" i="31" s="1"/>
  <c r="G524" i="31" s="1"/>
  <c r="G523" i="31" s="1"/>
  <c r="F526" i="31"/>
  <c r="F525" i="31" s="1"/>
  <c r="F524" i="31" s="1"/>
  <c r="F523" i="31" s="1"/>
  <c r="G522" i="31"/>
  <c r="G521" i="31" s="1"/>
  <c r="G520" i="31" s="1"/>
  <c r="G519" i="31" s="1"/>
  <c r="H521" i="31"/>
  <c r="H518" i="31" s="1"/>
  <c r="F521" i="31"/>
  <c r="F520" i="31" s="1"/>
  <c r="F519" i="31" s="1"/>
  <c r="F518" i="31" s="1"/>
  <c r="F517" i="31"/>
  <c r="F516" i="31" s="1"/>
  <c r="F515" i="31" s="1"/>
  <c r="F514" i="31" s="1"/>
  <c r="F513" i="31" s="1"/>
  <c r="H516" i="31"/>
  <c r="H515" i="31" s="1"/>
  <c r="H514" i="31" s="1"/>
  <c r="H513" i="31" s="1"/>
  <c r="G516" i="31"/>
  <c r="G515" i="31" s="1"/>
  <c r="G514" i="31" s="1"/>
  <c r="G513" i="31" s="1"/>
  <c r="H512" i="31"/>
  <c r="H511" i="31" s="1"/>
  <c r="G512" i="31"/>
  <c r="F512" i="31"/>
  <c r="F511" i="31" s="1"/>
  <c r="F510" i="31" s="1"/>
  <c r="F509" i="31" s="1"/>
  <c r="F508" i="31" s="1"/>
  <c r="F507" i="31" s="1"/>
  <c r="G511" i="31"/>
  <c r="G510" i="31" s="1"/>
  <c r="G509" i="31" s="1"/>
  <c r="G508" i="31" s="1"/>
  <c r="G507" i="31" s="1"/>
  <c r="H510" i="31"/>
  <c r="H509" i="31" s="1"/>
  <c r="H508" i="31" s="1"/>
  <c r="H507" i="31" s="1"/>
  <c r="H505" i="31"/>
  <c r="H504" i="31" s="1"/>
  <c r="H503" i="31" s="1"/>
  <c r="H502" i="31" s="1"/>
  <c r="H501" i="31" s="1"/>
  <c r="G505" i="31"/>
  <c r="G504" i="31" s="1"/>
  <c r="G503" i="31" s="1"/>
  <c r="G502" i="31" s="1"/>
  <c r="G501" i="31" s="1"/>
  <c r="F505" i="31"/>
  <c r="F504" i="31"/>
  <c r="F503" i="31" s="1"/>
  <c r="F502" i="31" s="1"/>
  <c r="F501" i="31" s="1"/>
  <c r="F500" i="31"/>
  <c r="F499" i="31" s="1"/>
  <c r="F498" i="31" s="1"/>
  <c r="F497" i="31" s="1"/>
  <c r="F496" i="31" s="1"/>
  <c r="F495" i="31" s="1"/>
  <c r="H499" i="31"/>
  <c r="H498" i="31" s="1"/>
  <c r="H497" i="31" s="1"/>
  <c r="H496" i="31" s="1"/>
  <c r="H495" i="31" s="1"/>
  <c r="G499" i="31"/>
  <c r="G498" i="31" s="1"/>
  <c r="G497" i="31" s="1"/>
  <c r="G496" i="31" s="1"/>
  <c r="G495" i="31" s="1"/>
  <c r="H492" i="31"/>
  <c r="H491" i="31" s="1"/>
  <c r="H490" i="31" s="1"/>
  <c r="H489" i="31" s="1"/>
  <c r="G492" i="31"/>
  <c r="G491" i="31" s="1"/>
  <c r="G490" i="31" s="1"/>
  <c r="G489" i="31" s="1"/>
  <c r="F492" i="31"/>
  <c r="F491" i="31" s="1"/>
  <c r="F490" i="31" s="1"/>
  <c r="F489" i="31" s="1"/>
  <c r="H487" i="31"/>
  <c r="H486" i="31" s="1"/>
  <c r="H485" i="31" s="1"/>
  <c r="H484" i="31" s="1"/>
  <c r="G487" i="31"/>
  <c r="G486" i="31" s="1"/>
  <c r="G485" i="31" s="1"/>
  <c r="G484" i="31" s="1"/>
  <c r="F487" i="31"/>
  <c r="F486" i="31" s="1"/>
  <c r="F485" i="31" s="1"/>
  <c r="F484" i="31" s="1"/>
  <c r="H482" i="31"/>
  <c r="H481" i="31" s="1"/>
  <c r="H480" i="31" s="1"/>
  <c r="H479" i="31" s="1"/>
  <c r="G482" i="31"/>
  <c r="G481" i="31" s="1"/>
  <c r="G480" i="31" s="1"/>
  <c r="G479" i="31" s="1"/>
  <c r="F482" i="31"/>
  <c r="F481" i="31" s="1"/>
  <c r="F480" i="31" s="1"/>
  <c r="F479" i="31" s="1"/>
  <c r="H477" i="31"/>
  <c r="H476" i="31" s="1"/>
  <c r="H475" i="31" s="1"/>
  <c r="H474" i="31" s="1"/>
  <c r="G477" i="31"/>
  <c r="G476" i="31" s="1"/>
  <c r="G475" i="31" s="1"/>
  <c r="G474" i="31" s="1"/>
  <c r="F477" i="31"/>
  <c r="F476" i="31"/>
  <c r="F475" i="31" s="1"/>
  <c r="F474" i="31" s="1"/>
  <c r="H472" i="31"/>
  <c r="H471" i="31" s="1"/>
  <c r="H470" i="31" s="1"/>
  <c r="H469" i="31" s="1"/>
  <c r="G472" i="31"/>
  <c r="G471" i="31" s="1"/>
  <c r="G470" i="31" s="1"/>
  <c r="G469" i="31" s="1"/>
  <c r="F472" i="31"/>
  <c r="F471" i="31"/>
  <c r="F470" i="31" s="1"/>
  <c r="F469" i="31" s="1"/>
  <c r="H467" i="31"/>
  <c r="H466" i="31" s="1"/>
  <c r="H465" i="31" s="1"/>
  <c r="H464" i="31" s="1"/>
  <c r="G467" i="31"/>
  <c r="G466" i="31" s="1"/>
  <c r="G465" i="31" s="1"/>
  <c r="G464" i="31" s="1"/>
  <c r="F467" i="31"/>
  <c r="F466" i="31" s="1"/>
  <c r="F465" i="31" s="1"/>
  <c r="F464" i="31" s="1"/>
  <c r="H462" i="31"/>
  <c r="H461" i="31" s="1"/>
  <c r="H460" i="31" s="1"/>
  <c r="H459" i="31" s="1"/>
  <c r="G462" i="31"/>
  <c r="G461" i="31" s="1"/>
  <c r="G460" i="31" s="1"/>
  <c r="G459" i="31" s="1"/>
  <c r="F462" i="31"/>
  <c r="F461" i="31" s="1"/>
  <c r="F460" i="31" s="1"/>
  <c r="F459" i="31" s="1"/>
  <c r="H457" i="31"/>
  <c r="G457" i="31"/>
  <c r="F457" i="31"/>
  <c r="H455" i="31"/>
  <c r="G455" i="31"/>
  <c r="F455" i="31"/>
  <c r="H450" i="31"/>
  <c r="H449" i="31" s="1"/>
  <c r="H448" i="31" s="1"/>
  <c r="H447" i="31" s="1"/>
  <c r="G450" i="31"/>
  <c r="G449" i="31" s="1"/>
  <c r="G448" i="31" s="1"/>
  <c r="G447" i="31" s="1"/>
  <c r="F450" i="31"/>
  <c r="F449" i="31" s="1"/>
  <c r="F448" i="31" s="1"/>
  <c r="F447" i="31" s="1"/>
  <c r="H446" i="31"/>
  <c r="H445" i="31" s="1"/>
  <c r="G446" i="31"/>
  <c r="F446" i="31"/>
  <c r="F445" i="31" s="1"/>
  <c r="F444" i="31" s="1"/>
  <c r="F443" i="31" s="1"/>
  <c r="F442" i="31" s="1"/>
  <c r="G445" i="31"/>
  <c r="G444" i="31" s="1"/>
  <c r="G443" i="31" s="1"/>
  <c r="G442" i="31" s="1"/>
  <c r="H444" i="31"/>
  <c r="H443" i="31" s="1"/>
  <c r="H442" i="31" s="1"/>
  <c r="H438" i="31"/>
  <c r="G438" i="31"/>
  <c r="F438" i="31"/>
  <c r="F437" i="31"/>
  <c r="F436" i="31" s="1"/>
  <c r="H436" i="31"/>
  <c r="H435" i="31" s="1"/>
  <c r="H434" i="31" s="1"/>
  <c r="H433" i="31" s="1"/>
  <c r="G436" i="31"/>
  <c r="G435" i="31" s="1"/>
  <c r="G434" i="31" s="1"/>
  <c r="G433" i="31" s="1"/>
  <c r="F432" i="31"/>
  <c r="H431" i="31"/>
  <c r="H430" i="31" s="1"/>
  <c r="H429" i="31" s="1"/>
  <c r="H428" i="31" s="1"/>
  <c r="G431" i="31"/>
  <c r="G430" i="31" s="1"/>
  <c r="G429" i="31" s="1"/>
  <c r="G428" i="31" s="1"/>
  <c r="F431" i="31"/>
  <c r="F430" i="31" s="1"/>
  <c r="F429" i="31" s="1"/>
  <c r="F428" i="31" s="1"/>
  <c r="H423" i="31"/>
  <c r="H422" i="31" s="1"/>
  <c r="H421" i="31" s="1"/>
  <c r="H420" i="31" s="1"/>
  <c r="G423" i="31"/>
  <c r="G422" i="31" s="1"/>
  <c r="G421" i="31" s="1"/>
  <c r="G420" i="31" s="1"/>
  <c r="F423" i="31"/>
  <c r="F422" i="31" s="1"/>
  <c r="F421" i="31" s="1"/>
  <c r="F420" i="31" s="1"/>
  <c r="F419" i="31"/>
  <c r="F418" i="31"/>
  <c r="F417" i="31" s="1"/>
  <c r="F416" i="31" s="1"/>
  <c r="F415" i="31" s="1"/>
  <c r="F414" i="31" s="1"/>
  <c r="H417" i="31"/>
  <c r="H416" i="31" s="1"/>
  <c r="H415" i="31" s="1"/>
  <c r="H414" i="31" s="1"/>
  <c r="G417" i="31"/>
  <c r="G416" i="31" s="1"/>
  <c r="G415" i="31" s="1"/>
  <c r="G414" i="31" s="1"/>
  <c r="H411" i="31"/>
  <c r="H410" i="31" s="1"/>
  <c r="H409" i="31" s="1"/>
  <c r="H408" i="31" s="1"/>
  <c r="G411" i="31"/>
  <c r="G410" i="31" s="1"/>
  <c r="G409" i="31" s="1"/>
  <c r="G408" i="31" s="1"/>
  <c r="F411" i="31"/>
  <c r="F410" i="31" s="1"/>
  <c r="F409" i="31" s="1"/>
  <c r="F408" i="31" s="1"/>
  <c r="H406" i="31"/>
  <c r="H405" i="31" s="1"/>
  <c r="H404" i="31" s="1"/>
  <c r="H403" i="31" s="1"/>
  <c r="G406" i="31"/>
  <c r="G405" i="31" s="1"/>
  <c r="G404" i="31" s="1"/>
  <c r="G403" i="31" s="1"/>
  <c r="F406" i="31"/>
  <c r="F405" i="31" s="1"/>
  <c r="F404" i="31" s="1"/>
  <c r="F403" i="31" s="1"/>
  <c r="F401" i="31"/>
  <c r="F400" i="31" s="1"/>
  <c r="H400" i="31"/>
  <c r="G400" i="31"/>
  <c r="F399" i="31"/>
  <c r="F398" i="31" s="1"/>
  <c r="H398" i="31"/>
  <c r="G398" i="31"/>
  <c r="H396" i="31"/>
  <c r="G396" i="31"/>
  <c r="F396" i="31"/>
  <c r="F392" i="31"/>
  <c r="F391" i="31" s="1"/>
  <c r="H391" i="31"/>
  <c r="G391" i="31"/>
  <c r="H389" i="31"/>
  <c r="G389" i="31"/>
  <c r="F389" i="31"/>
  <c r="H384" i="31"/>
  <c r="G384" i="31"/>
  <c r="F384" i="31"/>
  <c r="H382" i="31"/>
  <c r="G382" i="31"/>
  <c r="F382" i="31"/>
  <c r="H381" i="31"/>
  <c r="H380" i="31" s="1"/>
  <c r="G381" i="31"/>
  <c r="F381" i="31"/>
  <c r="F380" i="31" s="1"/>
  <c r="G380" i="31"/>
  <c r="H372" i="31"/>
  <c r="G372" i="31"/>
  <c r="G371" i="31" s="1"/>
  <c r="G370" i="31" s="1"/>
  <c r="G369" i="31" s="1"/>
  <c r="F372" i="31"/>
  <c r="F371" i="31" s="1"/>
  <c r="F370" i="31" s="1"/>
  <c r="F369" i="31" s="1"/>
  <c r="F368" i="31"/>
  <c r="H367" i="31"/>
  <c r="H366" i="31" s="1"/>
  <c r="H365" i="31" s="1"/>
  <c r="H364" i="31" s="1"/>
  <c r="H363" i="31" s="1"/>
  <c r="G367" i="31"/>
  <c r="G366" i="31" s="1"/>
  <c r="G365" i="31" s="1"/>
  <c r="G364" i="31" s="1"/>
  <c r="G363" i="31" s="1"/>
  <c r="F367" i="31"/>
  <c r="F366" i="31" s="1"/>
  <c r="F365" i="31" s="1"/>
  <c r="F364" i="31" s="1"/>
  <c r="F363" i="31" s="1"/>
  <c r="F362" i="31"/>
  <c r="H360" i="31"/>
  <c r="H359" i="31" s="1"/>
  <c r="H358" i="31" s="1"/>
  <c r="H357" i="31" s="1"/>
  <c r="G360" i="31"/>
  <c r="G359" i="31" s="1"/>
  <c r="G358" i="31" s="1"/>
  <c r="G357" i="31" s="1"/>
  <c r="F360" i="31"/>
  <c r="F359" i="31" s="1"/>
  <c r="F358" i="31" s="1"/>
  <c r="F357" i="31" s="1"/>
  <c r="F355" i="31"/>
  <c r="F354" i="31" s="1"/>
  <c r="F353" i="31" s="1"/>
  <c r="F352" i="31" s="1"/>
  <c r="F351" i="31" s="1"/>
  <c r="H354" i="31"/>
  <c r="H353" i="31" s="1"/>
  <c r="H352" i="31" s="1"/>
  <c r="H351" i="31" s="1"/>
  <c r="G354" i="31"/>
  <c r="G353" i="31" s="1"/>
  <c r="G352" i="31" s="1"/>
  <c r="G351" i="31" s="1"/>
  <c r="F350" i="31"/>
  <c r="F349" i="31"/>
  <c r="F348" i="31" s="1"/>
  <c r="F347" i="31" s="1"/>
  <c r="F346" i="31" s="1"/>
  <c r="F345" i="31" s="1"/>
  <c r="H348" i="31"/>
  <c r="H347" i="31" s="1"/>
  <c r="H346" i="31" s="1"/>
  <c r="H345" i="31" s="1"/>
  <c r="G348" i="31"/>
  <c r="G347" i="31" s="1"/>
  <c r="G346" i="31" s="1"/>
  <c r="G345" i="31" s="1"/>
  <c r="H342" i="31"/>
  <c r="H341" i="31" s="1"/>
  <c r="H340" i="31" s="1"/>
  <c r="H339" i="31" s="1"/>
  <c r="G342" i="31"/>
  <c r="G341" i="31" s="1"/>
  <c r="G340" i="31" s="1"/>
  <c r="G339" i="31" s="1"/>
  <c r="F342" i="31"/>
  <c r="F341" i="31" s="1"/>
  <c r="F340" i="31" s="1"/>
  <c r="F339" i="31" s="1"/>
  <c r="H337" i="31"/>
  <c r="H336" i="31" s="1"/>
  <c r="H335" i="31" s="1"/>
  <c r="H334" i="31" s="1"/>
  <c r="G337" i="31"/>
  <c r="G336" i="31" s="1"/>
  <c r="G335" i="31" s="1"/>
  <c r="G334" i="31" s="1"/>
  <c r="F337" i="31"/>
  <c r="F336" i="31" s="1"/>
  <c r="F335" i="31" s="1"/>
  <c r="F334" i="31" s="1"/>
  <c r="F333" i="31"/>
  <c r="F332" i="31"/>
  <c r="F331" i="31" s="1"/>
  <c r="F330" i="31" s="1"/>
  <c r="F329" i="31" s="1"/>
  <c r="F328" i="31" s="1"/>
  <c r="H331" i="31"/>
  <c r="H330" i="31" s="1"/>
  <c r="H329" i="31" s="1"/>
  <c r="H328" i="31" s="1"/>
  <c r="G331" i="31"/>
  <c r="G330" i="31" s="1"/>
  <c r="G329" i="31" s="1"/>
  <c r="G328" i="31" s="1"/>
  <c r="F327" i="31"/>
  <c r="F326" i="31"/>
  <c r="F325" i="31" s="1"/>
  <c r="F324" i="31" s="1"/>
  <c r="F323" i="31" s="1"/>
  <c r="H325" i="31"/>
  <c r="H324" i="31" s="1"/>
  <c r="H323" i="31" s="1"/>
  <c r="G325" i="31"/>
  <c r="G324" i="31" s="1"/>
  <c r="G323" i="31" s="1"/>
  <c r="F321" i="31"/>
  <c r="H320" i="31"/>
  <c r="H319" i="31" s="1"/>
  <c r="H318" i="31" s="1"/>
  <c r="H317" i="31" s="1"/>
  <c r="G320" i="31"/>
  <c r="G319" i="31" s="1"/>
  <c r="G318" i="31" s="1"/>
  <c r="G317" i="31" s="1"/>
  <c r="F320" i="31"/>
  <c r="F319" i="31" s="1"/>
  <c r="F318" i="31" s="1"/>
  <c r="F317" i="31" s="1"/>
  <c r="F316" i="31"/>
  <c r="F315" i="31"/>
  <c r="H314" i="31"/>
  <c r="H313" i="31" s="1"/>
  <c r="H312" i="31" s="1"/>
  <c r="H311" i="31" s="1"/>
  <c r="G314" i="31"/>
  <c r="G313" i="31" s="1"/>
  <c r="G312" i="31" s="1"/>
  <c r="G311" i="31" s="1"/>
  <c r="F314" i="31"/>
  <c r="F313" i="31" s="1"/>
  <c r="F312" i="31" s="1"/>
  <c r="F311" i="31" s="1"/>
  <c r="F309" i="31"/>
  <c r="F308" i="31" s="1"/>
  <c r="F307" i="31" s="1"/>
  <c r="F306" i="31" s="1"/>
  <c r="F305" i="31" s="1"/>
  <c r="H308" i="31"/>
  <c r="H307" i="31" s="1"/>
  <c r="H306" i="31" s="1"/>
  <c r="H305" i="31" s="1"/>
  <c r="G308" i="31"/>
  <c r="G307" i="31" s="1"/>
  <c r="G306" i="31" s="1"/>
  <c r="G305" i="31" s="1"/>
  <c r="F304" i="31"/>
  <c r="F303" i="31"/>
  <c r="F302" i="31" s="1"/>
  <c r="F301" i="31" s="1"/>
  <c r="F300" i="31" s="1"/>
  <c r="F299" i="31" s="1"/>
  <c r="H302" i="31"/>
  <c r="H301" i="31" s="1"/>
  <c r="H300" i="31" s="1"/>
  <c r="H299" i="31" s="1"/>
  <c r="G302" i="31"/>
  <c r="G301" i="31" s="1"/>
  <c r="G300" i="31" s="1"/>
  <c r="G299" i="31" s="1"/>
  <c r="F298" i="31"/>
  <c r="F297" i="31"/>
  <c r="F296" i="31" s="1"/>
  <c r="F295" i="31" s="1"/>
  <c r="F294" i="31" s="1"/>
  <c r="F293" i="31" s="1"/>
  <c r="H296" i="31"/>
  <c r="H295" i="31" s="1"/>
  <c r="H294" i="31" s="1"/>
  <c r="H293" i="31" s="1"/>
  <c r="G296" i="31"/>
  <c r="G295" i="31" s="1"/>
  <c r="G294" i="31" s="1"/>
  <c r="G293" i="31" s="1"/>
  <c r="H289" i="31"/>
  <c r="H288" i="31" s="1"/>
  <c r="H287" i="31" s="1"/>
  <c r="H286" i="31" s="1"/>
  <c r="H285" i="31" s="1"/>
  <c r="H284" i="31" s="1"/>
  <c r="G289" i="31"/>
  <c r="G288" i="31" s="1"/>
  <c r="G287" i="31" s="1"/>
  <c r="G286" i="31" s="1"/>
  <c r="G285" i="31" s="1"/>
  <c r="G284" i="31" s="1"/>
  <c r="F289" i="31"/>
  <c r="F288" i="31" s="1"/>
  <c r="F287" i="31" s="1"/>
  <c r="F286" i="31" s="1"/>
  <c r="F285" i="31" s="1"/>
  <c r="F284" i="31" s="1"/>
  <c r="H283" i="31"/>
  <c r="G283" i="31"/>
  <c r="G282" i="31" s="1"/>
  <c r="F283" i="31"/>
  <c r="H282" i="31"/>
  <c r="H281" i="31" s="1"/>
  <c r="H280" i="31" s="1"/>
  <c r="H279" i="31" s="1"/>
  <c r="F282" i="31"/>
  <c r="F281" i="31" s="1"/>
  <c r="F280" i="31" s="1"/>
  <c r="F279" i="31" s="1"/>
  <c r="G281" i="31"/>
  <c r="G280" i="31" s="1"/>
  <c r="G279" i="31" s="1"/>
  <c r="H278" i="31"/>
  <c r="H277" i="31" s="1"/>
  <c r="G278" i="31"/>
  <c r="F278" i="31"/>
  <c r="F277" i="31" s="1"/>
  <c r="F276" i="31" s="1"/>
  <c r="F275" i="31" s="1"/>
  <c r="F274" i="31" s="1"/>
  <c r="G277" i="31"/>
  <c r="G276" i="31" s="1"/>
  <c r="G275" i="31" s="1"/>
  <c r="G274" i="31" s="1"/>
  <c r="H276" i="31"/>
  <c r="H275" i="31" s="1"/>
  <c r="H274" i="31" s="1"/>
  <c r="H272" i="31"/>
  <c r="H271" i="31" s="1"/>
  <c r="H270" i="31" s="1"/>
  <c r="H269" i="31" s="1"/>
  <c r="G272" i="31"/>
  <c r="G271" i="31" s="1"/>
  <c r="G270" i="31" s="1"/>
  <c r="G269" i="31" s="1"/>
  <c r="F272" i="31"/>
  <c r="F271" i="31" s="1"/>
  <c r="F270" i="31" s="1"/>
  <c r="F269" i="31" s="1"/>
  <c r="H267" i="31"/>
  <c r="H266" i="31" s="1"/>
  <c r="H265" i="31" s="1"/>
  <c r="H264" i="31" s="1"/>
  <c r="G267" i="31"/>
  <c r="G266" i="31" s="1"/>
  <c r="G265" i="31" s="1"/>
  <c r="G264" i="31" s="1"/>
  <c r="F267" i="31"/>
  <c r="F266" i="31" s="1"/>
  <c r="F265" i="31" s="1"/>
  <c r="F264" i="31" s="1"/>
  <c r="H263" i="31"/>
  <c r="H262" i="31" s="1"/>
  <c r="G263" i="31"/>
  <c r="G262" i="31"/>
  <c r="G261" i="31" s="1"/>
  <c r="G260" i="31" s="1"/>
  <c r="G259" i="31" s="1"/>
  <c r="F262" i="31"/>
  <c r="F261" i="31" s="1"/>
  <c r="F260" i="31" s="1"/>
  <c r="F259" i="31" s="1"/>
  <c r="H261" i="31"/>
  <c r="H260" i="31" s="1"/>
  <c r="H259" i="31" s="1"/>
  <c r="H257" i="31"/>
  <c r="H256" i="31" s="1"/>
  <c r="H255" i="31" s="1"/>
  <c r="H254" i="31" s="1"/>
  <c r="G257" i="31"/>
  <c r="G256" i="31" s="1"/>
  <c r="G255" i="31" s="1"/>
  <c r="G254" i="31" s="1"/>
  <c r="F257" i="31"/>
  <c r="F256" i="31" s="1"/>
  <c r="F255" i="31" s="1"/>
  <c r="F254" i="31" s="1"/>
  <c r="H251" i="31"/>
  <c r="H250" i="31" s="1"/>
  <c r="H249" i="31" s="1"/>
  <c r="H248" i="31" s="1"/>
  <c r="G251" i="31"/>
  <c r="G250" i="31" s="1"/>
  <c r="G249" i="31" s="1"/>
  <c r="G248" i="31" s="1"/>
  <c r="F251" i="31"/>
  <c r="F250" i="31" s="1"/>
  <c r="F249" i="31" s="1"/>
  <c r="F248" i="31" s="1"/>
  <c r="H246" i="31"/>
  <c r="H245" i="31" s="1"/>
  <c r="H244" i="31" s="1"/>
  <c r="H243" i="31" s="1"/>
  <c r="G246" i="31"/>
  <c r="G245" i="31" s="1"/>
  <c r="G244" i="31" s="1"/>
  <c r="G243" i="31" s="1"/>
  <c r="F246" i="31"/>
  <c r="F245" i="31" s="1"/>
  <c r="F244" i="31" s="1"/>
  <c r="F243" i="31" s="1"/>
  <c r="H241" i="31"/>
  <c r="H240" i="31" s="1"/>
  <c r="H239" i="31" s="1"/>
  <c r="H238" i="31" s="1"/>
  <c r="G241" i="31"/>
  <c r="G240" i="31" s="1"/>
  <c r="G239" i="31" s="1"/>
  <c r="G238" i="31" s="1"/>
  <c r="F241" i="31"/>
  <c r="F240" i="31" s="1"/>
  <c r="F239" i="31" s="1"/>
  <c r="F238" i="31" s="1"/>
  <c r="H236" i="31"/>
  <c r="G236" i="31"/>
  <c r="F236" i="31"/>
  <c r="F235" i="31"/>
  <c r="H234" i="31"/>
  <c r="H233" i="31" s="1"/>
  <c r="H232" i="31" s="1"/>
  <c r="H231" i="31" s="1"/>
  <c r="G234" i="31"/>
  <c r="G233" i="31" s="1"/>
  <c r="G232" i="31" s="1"/>
  <c r="G231" i="31" s="1"/>
  <c r="F234" i="31"/>
  <c r="F233" i="31" s="1"/>
  <c r="F232" i="31" s="1"/>
  <c r="F231" i="31" s="1"/>
  <c r="H230" i="31"/>
  <c r="H229" i="31" s="1"/>
  <c r="H228" i="31" s="1"/>
  <c r="H227" i="31" s="1"/>
  <c r="G230" i="31"/>
  <c r="F230" i="31"/>
  <c r="F229" i="31" s="1"/>
  <c r="F228" i="31" s="1"/>
  <c r="F227" i="31" s="1"/>
  <c r="G229" i="31"/>
  <c r="G228" i="31" s="1"/>
  <c r="G227" i="31" s="1"/>
  <c r="H223" i="31"/>
  <c r="G223" i="31"/>
  <c r="G222" i="31" s="1"/>
  <c r="G221" i="31" s="1"/>
  <c r="G220" i="31" s="1"/>
  <c r="G219" i="31" s="1"/>
  <c r="F223" i="31"/>
  <c r="H222" i="31"/>
  <c r="H221" i="31" s="1"/>
  <c r="H220" i="31" s="1"/>
  <c r="H219" i="31" s="1"/>
  <c r="F222" i="31"/>
  <c r="F221" i="31" s="1"/>
  <c r="F220" i="31" s="1"/>
  <c r="F219" i="31" s="1"/>
  <c r="H218" i="31"/>
  <c r="G218" i="31"/>
  <c r="F218" i="31"/>
  <c r="F217" i="31" s="1"/>
  <c r="F216" i="31" s="1"/>
  <c r="F215" i="31" s="1"/>
  <c r="F214" i="31" s="1"/>
  <c r="H217" i="31"/>
  <c r="H216" i="31" s="1"/>
  <c r="H215" i="31" s="1"/>
  <c r="H214" i="31" s="1"/>
  <c r="G217" i="31"/>
  <c r="G216" i="31" s="1"/>
  <c r="G215" i="31" s="1"/>
  <c r="G214" i="31" s="1"/>
  <c r="H212" i="31"/>
  <c r="G212" i="31"/>
  <c r="F212" i="31"/>
  <c r="H210" i="31"/>
  <c r="G210" i="31"/>
  <c r="F210" i="31"/>
  <c r="H209" i="31"/>
  <c r="G209" i="31"/>
  <c r="G208" i="31" s="1"/>
  <c r="G207" i="31" s="1"/>
  <c r="F209" i="31"/>
  <c r="F208" i="31" s="1"/>
  <c r="F207" i="31" s="1"/>
  <c r="H208" i="31"/>
  <c r="H207" i="31" s="1"/>
  <c r="H204" i="31"/>
  <c r="G204" i="31"/>
  <c r="G203" i="31" s="1"/>
  <c r="G202" i="31" s="1"/>
  <c r="G201" i="31" s="1"/>
  <c r="G200" i="31" s="1"/>
  <c r="F204" i="31"/>
  <c r="H203" i="31"/>
  <c r="H202" i="31" s="1"/>
  <c r="H201" i="31" s="1"/>
  <c r="H200" i="31" s="1"/>
  <c r="F203" i="31"/>
  <c r="F202" i="31" s="1"/>
  <c r="F201" i="31" s="1"/>
  <c r="F200" i="31" s="1"/>
  <c r="H198" i="31"/>
  <c r="H197" i="31" s="1"/>
  <c r="H196" i="31" s="1"/>
  <c r="H195" i="31" s="1"/>
  <c r="G198" i="31"/>
  <c r="G197" i="31" s="1"/>
  <c r="G196" i="31" s="1"/>
  <c r="G195" i="31" s="1"/>
  <c r="F198" i="31"/>
  <c r="F197" i="31" s="1"/>
  <c r="F196" i="31" s="1"/>
  <c r="F195" i="31" s="1"/>
  <c r="F193" i="31"/>
  <c r="F192" i="31" s="1"/>
  <c r="F191" i="31" s="1"/>
  <c r="F190" i="31" s="1"/>
  <c r="H193" i="31"/>
  <c r="H192" i="31" s="1"/>
  <c r="H191" i="31" s="1"/>
  <c r="H190" i="31" s="1"/>
  <c r="G193" i="31"/>
  <c r="G192" i="31" s="1"/>
  <c r="G191" i="31" s="1"/>
  <c r="G190" i="31" s="1"/>
  <c r="H188" i="31"/>
  <c r="H187" i="31" s="1"/>
  <c r="H186" i="31" s="1"/>
  <c r="H185" i="31" s="1"/>
  <c r="G188" i="31"/>
  <c r="G187" i="31" s="1"/>
  <c r="G186" i="31" s="1"/>
  <c r="G185" i="31" s="1"/>
  <c r="F188" i="31"/>
  <c r="F187" i="31" s="1"/>
  <c r="F186" i="31" s="1"/>
  <c r="F185" i="31" s="1"/>
  <c r="H183" i="31"/>
  <c r="H182" i="31" s="1"/>
  <c r="H181" i="31" s="1"/>
  <c r="H180" i="31" s="1"/>
  <c r="G183" i="31"/>
  <c r="G182" i="31" s="1"/>
  <c r="G181" i="31" s="1"/>
  <c r="G180" i="31" s="1"/>
  <c r="F183" i="31"/>
  <c r="F182" i="31" s="1"/>
  <c r="F181" i="31" s="1"/>
  <c r="F180" i="31" s="1"/>
  <c r="H179" i="31"/>
  <c r="G179" i="31"/>
  <c r="G178" i="31" s="1"/>
  <c r="G177" i="31" s="1"/>
  <c r="G176" i="31" s="1"/>
  <c r="G175" i="31" s="1"/>
  <c r="H178" i="31"/>
  <c r="H177" i="31" s="1"/>
  <c r="H176" i="31" s="1"/>
  <c r="H175" i="31" s="1"/>
  <c r="F178" i="31"/>
  <c r="F177" i="31" s="1"/>
  <c r="F176" i="31" s="1"/>
  <c r="F175" i="31" s="1"/>
  <c r="H172" i="31"/>
  <c r="G172" i="31"/>
  <c r="F172" i="31"/>
  <c r="F171" i="31"/>
  <c r="F170" i="31" s="1"/>
  <c r="H170" i="31"/>
  <c r="G170" i="31"/>
  <c r="F169" i="31"/>
  <c r="F168" i="31" s="1"/>
  <c r="H168" i="31"/>
  <c r="G168" i="31"/>
  <c r="H161" i="31"/>
  <c r="H160" i="31" s="1"/>
  <c r="G161" i="31"/>
  <c r="G160" i="31" s="1"/>
  <c r="F161" i="31"/>
  <c r="F160" i="31" s="1"/>
  <c r="F159" i="31"/>
  <c r="H158" i="31"/>
  <c r="H157" i="31" s="1"/>
  <c r="H156" i="31" s="1"/>
  <c r="H155" i="31" s="1"/>
  <c r="G158" i="31"/>
  <c r="G157" i="31" s="1"/>
  <c r="G156" i="31" s="1"/>
  <c r="G155" i="31" s="1"/>
  <c r="F158" i="31"/>
  <c r="F157" i="31" s="1"/>
  <c r="F156" i="31" s="1"/>
  <c r="F155" i="31" s="1"/>
  <c r="H153" i="31"/>
  <c r="H152" i="31" s="1"/>
  <c r="H151" i="31" s="1"/>
  <c r="H150" i="31" s="1"/>
  <c r="G153" i="31"/>
  <c r="G152" i="31" s="1"/>
  <c r="G151" i="31" s="1"/>
  <c r="G150" i="31" s="1"/>
  <c r="F153" i="31"/>
  <c r="F152" i="31" s="1"/>
  <c r="F151" i="31" s="1"/>
  <c r="F150" i="31" s="1"/>
  <c r="F149" i="31"/>
  <c r="F148" i="31" s="1"/>
  <c r="H148" i="31"/>
  <c r="G148" i="31"/>
  <c r="F147" i="31"/>
  <c r="F146" i="31" s="1"/>
  <c r="H146" i="31"/>
  <c r="G146" i="31"/>
  <c r="F142" i="31"/>
  <c r="H141" i="31"/>
  <c r="G141" i="31"/>
  <c r="F141" i="31"/>
  <c r="F140" i="31"/>
  <c r="H139" i="31"/>
  <c r="H138" i="31" s="1"/>
  <c r="H137" i="31" s="1"/>
  <c r="H136" i="31" s="1"/>
  <c r="G139" i="31"/>
  <c r="G138" i="31" s="1"/>
  <c r="G137" i="31" s="1"/>
  <c r="G136" i="31" s="1"/>
  <c r="F139" i="31"/>
  <c r="F138" i="31" s="1"/>
  <c r="F137" i="31" s="1"/>
  <c r="F136" i="31" s="1"/>
  <c r="H135" i="31"/>
  <c r="G135" i="31"/>
  <c r="G134" i="31" s="1"/>
  <c r="G133" i="31" s="1"/>
  <c r="G132" i="31" s="1"/>
  <c r="G131" i="31" s="1"/>
  <c r="H134" i="31"/>
  <c r="H133" i="31" s="1"/>
  <c r="H132" i="31" s="1"/>
  <c r="H131" i="31" s="1"/>
  <c r="F134" i="31"/>
  <c r="F133" i="31" s="1"/>
  <c r="F132" i="31" s="1"/>
  <c r="F131" i="31" s="1"/>
  <c r="H129" i="31"/>
  <c r="H128" i="31" s="1"/>
  <c r="H127" i="31" s="1"/>
  <c r="H126" i="31" s="1"/>
  <c r="G129" i="31"/>
  <c r="G128" i="31" s="1"/>
  <c r="G127" i="31" s="1"/>
  <c r="G126" i="31" s="1"/>
  <c r="F129" i="31"/>
  <c r="F128" i="31" s="1"/>
  <c r="F127" i="31" s="1"/>
  <c r="F126" i="31" s="1"/>
  <c r="H124" i="31"/>
  <c r="G124" i="31"/>
  <c r="F124" i="31"/>
  <c r="F123" i="31"/>
  <c r="H122" i="31"/>
  <c r="H121" i="31" s="1"/>
  <c r="H120" i="31" s="1"/>
  <c r="H119" i="31" s="1"/>
  <c r="G122" i="31"/>
  <c r="G121" i="31" s="1"/>
  <c r="G120" i="31" s="1"/>
  <c r="G119" i="31" s="1"/>
  <c r="F122" i="31"/>
  <c r="F121" i="31" s="1"/>
  <c r="F120" i="31" s="1"/>
  <c r="F119" i="31" s="1"/>
  <c r="F117" i="31"/>
  <c r="H116" i="31"/>
  <c r="H115" i="31" s="1"/>
  <c r="H114" i="31" s="1"/>
  <c r="H113" i="31" s="1"/>
  <c r="G116" i="31"/>
  <c r="G115" i="31" s="1"/>
  <c r="G114" i="31" s="1"/>
  <c r="G113" i="31" s="1"/>
  <c r="F116" i="31"/>
  <c r="F115" i="31" s="1"/>
  <c r="F114" i="31" s="1"/>
  <c r="F113" i="31" s="1"/>
  <c r="H112" i="31"/>
  <c r="H111" i="31" s="1"/>
  <c r="H110" i="31" s="1"/>
  <c r="H109" i="31" s="1"/>
  <c r="H108" i="31" s="1"/>
  <c r="G112" i="31"/>
  <c r="F111" i="31"/>
  <c r="F110" i="31" s="1"/>
  <c r="F109" i="31" s="1"/>
  <c r="F108" i="31" s="1"/>
  <c r="G111" i="31"/>
  <c r="G110" i="31" s="1"/>
  <c r="G109" i="31" s="1"/>
  <c r="G108" i="31" s="1"/>
  <c r="H106" i="31"/>
  <c r="G106" i="31"/>
  <c r="G103" i="31" s="1"/>
  <c r="G102" i="31" s="1"/>
  <c r="G101" i="31" s="1"/>
  <c r="F106" i="31"/>
  <c r="H104" i="31"/>
  <c r="G104" i="31"/>
  <c r="F104" i="31"/>
  <c r="F100" i="31"/>
  <c r="F99" i="31" s="1"/>
  <c r="F98" i="31" s="1"/>
  <c r="F97" i="31" s="1"/>
  <c r="F96" i="31" s="1"/>
  <c r="H99" i="31"/>
  <c r="H98" i="31" s="1"/>
  <c r="H97" i="31" s="1"/>
  <c r="H96" i="31" s="1"/>
  <c r="G99" i="31"/>
  <c r="G98" i="31" s="1"/>
  <c r="G97" i="31" s="1"/>
  <c r="G96" i="31" s="1"/>
  <c r="F94" i="31"/>
  <c r="F93" i="31" s="1"/>
  <c r="H93" i="31"/>
  <c r="G93" i="31"/>
  <c r="H91" i="31"/>
  <c r="G91" i="31"/>
  <c r="F91" i="31"/>
  <c r="H87" i="31"/>
  <c r="H86" i="31" s="1"/>
  <c r="H85" i="31" s="1"/>
  <c r="H84" i="31" s="1"/>
  <c r="H83" i="31" s="1"/>
  <c r="G87" i="31"/>
  <c r="F87" i="31"/>
  <c r="F86" i="31" s="1"/>
  <c r="F85" i="31" s="1"/>
  <c r="F84" i="31" s="1"/>
  <c r="F83" i="31" s="1"/>
  <c r="G86" i="31"/>
  <c r="G85" i="31" s="1"/>
  <c r="G84" i="31" s="1"/>
  <c r="G83" i="31" s="1"/>
  <c r="H79" i="31"/>
  <c r="H78" i="31" s="1"/>
  <c r="H77" i="31" s="1"/>
  <c r="H76" i="31" s="1"/>
  <c r="H75" i="31" s="1"/>
  <c r="G79" i="31"/>
  <c r="G78" i="31" s="1"/>
  <c r="G77" i="31" s="1"/>
  <c r="G76" i="31" s="1"/>
  <c r="G75" i="31" s="1"/>
  <c r="F79" i="31"/>
  <c r="F78" i="31" s="1"/>
  <c r="F77" i="31" s="1"/>
  <c r="F76" i="31" s="1"/>
  <c r="F75" i="31" s="1"/>
  <c r="H73" i="31"/>
  <c r="H72" i="31" s="1"/>
  <c r="H71" i="31" s="1"/>
  <c r="G73" i="31"/>
  <c r="G72" i="31" s="1"/>
  <c r="G71" i="31" s="1"/>
  <c r="F73" i="31"/>
  <c r="F70" i="31" s="1"/>
  <c r="H68" i="31"/>
  <c r="H67" i="31" s="1"/>
  <c r="H66" i="31" s="1"/>
  <c r="G68" i="31"/>
  <c r="G67" i="31" s="1"/>
  <c r="G66" i="31" s="1"/>
  <c r="F68" i="31"/>
  <c r="F65" i="31" s="1"/>
  <c r="H63" i="31"/>
  <c r="H62" i="31" s="1"/>
  <c r="H61" i="31" s="1"/>
  <c r="G63" i="31"/>
  <c r="G62" i="31" s="1"/>
  <c r="G61" i="31" s="1"/>
  <c r="F63" i="31"/>
  <c r="F60" i="31" s="1"/>
  <c r="H58" i="31"/>
  <c r="F58" i="31"/>
  <c r="F57" i="31" s="1"/>
  <c r="H57" i="31"/>
  <c r="H56" i="31" s="1"/>
  <c r="H55" i="31" s="1"/>
  <c r="G57" i="31"/>
  <c r="G54" i="31" s="1"/>
  <c r="H52" i="31"/>
  <c r="H51" i="31" s="1"/>
  <c r="H50" i="31" s="1"/>
  <c r="G52" i="31"/>
  <c r="G49" i="31" s="1"/>
  <c r="F52" i="31"/>
  <c r="F49" i="31" s="1"/>
  <c r="F51" i="31"/>
  <c r="F50" i="31" s="1"/>
  <c r="H49" i="31"/>
  <c r="H47" i="31"/>
  <c r="H46" i="31" s="1"/>
  <c r="H45" i="31" s="1"/>
  <c r="G47" i="31"/>
  <c r="G44" i="31" s="1"/>
  <c r="F47" i="31"/>
  <c r="F44" i="31" s="1"/>
  <c r="G43" i="31"/>
  <c r="F43" i="31"/>
  <c r="F42" i="31" s="1"/>
  <c r="H42" i="31"/>
  <c r="H41" i="31" s="1"/>
  <c r="H40" i="31" s="1"/>
  <c r="G42" i="31"/>
  <c r="G41" i="31" s="1"/>
  <c r="G40" i="31" s="1"/>
  <c r="G38" i="31"/>
  <c r="F38" i="31"/>
  <c r="F37" i="31" s="1"/>
  <c r="H37" i="31"/>
  <c r="H36" i="31" s="1"/>
  <c r="H35" i="31" s="1"/>
  <c r="G37" i="31"/>
  <c r="G34" i="31" s="1"/>
  <c r="H32" i="31"/>
  <c r="H31" i="31" s="1"/>
  <c r="H30" i="31" s="1"/>
  <c r="G32" i="31"/>
  <c r="F32" i="31"/>
  <c r="F31" i="31" s="1"/>
  <c r="F30" i="31" s="1"/>
  <c r="H27" i="31"/>
  <c r="H24" i="31" s="1"/>
  <c r="G27" i="31"/>
  <c r="F27" i="31"/>
  <c r="F26" i="31" s="1"/>
  <c r="F25" i="31" s="1"/>
  <c r="H878" i="21"/>
  <c r="G878" i="21"/>
  <c r="G877" i="21" s="1"/>
  <c r="F878" i="21"/>
  <c r="H877" i="21"/>
  <c r="H876" i="21" s="1"/>
  <c r="H875" i="21" s="1"/>
  <c r="H874" i="21" s="1"/>
  <c r="H873" i="21" s="1"/>
  <c r="F877" i="21"/>
  <c r="F876" i="21" s="1"/>
  <c r="F875" i="21" s="1"/>
  <c r="F874" i="21" s="1"/>
  <c r="F873" i="21" s="1"/>
  <c r="G876" i="21"/>
  <c r="G875" i="21" s="1"/>
  <c r="G874" i="21" s="1"/>
  <c r="G873" i="21" s="1"/>
  <c r="F872" i="21"/>
  <c r="H871" i="21"/>
  <c r="H870" i="21" s="1"/>
  <c r="H869" i="21" s="1"/>
  <c r="H868" i="21" s="1"/>
  <c r="H867" i="21" s="1"/>
  <c r="G871" i="21"/>
  <c r="G870" i="21" s="1"/>
  <c r="G869" i="21" s="1"/>
  <c r="G868" i="21" s="1"/>
  <c r="G867" i="21" s="1"/>
  <c r="F871" i="21"/>
  <c r="F870" i="21" s="1"/>
  <c r="F869" i="21" s="1"/>
  <c r="F868" i="21" s="1"/>
  <c r="F867" i="21" s="1"/>
  <c r="H865" i="21"/>
  <c r="H864" i="21" s="1"/>
  <c r="H863" i="21" s="1"/>
  <c r="H862" i="21" s="1"/>
  <c r="G865" i="21"/>
  <c r="G864" i="21" s="1"/>
  <c r="G863" i="21" s="1"/>
  <c r="G862" i="21" s="1"/>
  <c r="F865" i="21"/>
  <c r="F864" i="21" s="1"/>
  <c r="F863" i="21" s="1"/>
  <c r="F862" i="21" s="1"/>
  <c r="H860" i="21"/>
  <c r="G860" i="21"/>
  <c r="F860" i="21"/>
  <c r="F859" i="21"/>
  <c r="F858" i="21" s="1"/>
  <c r="H858" i="21"/>
  <c r="G858" i="21"/>
  <c r="G857" i="21" s="1"/>
  <c r="H857" i="21"/>
  <c r="H856" i="21"/>
  <c r="G856" i="21"/>
  <c r="G855" i="21" s="1"/>
  <c r="F856" i="21"/>
  <c r="H855" i="21"/>
  <c r="H854" i="21" s="1"/>
  <c r="H853" i="21" s="1"/>
  <c r="H852" i="21" s="1"/>
  <c r="H851" i="21" s="1"/>
  <c r="H850" i="21" s="1"/>
  <c r="F855" i="21"/>
  <c r="F854" i="21" s="1"/>
  <c r="F853" i="21" s="1"/>
  <c r="G854" i="21"/>
  <c r="G853" i="21" s="1"/>
  <c r="H849" i="21"/>
  <c r="H848" i="21" s="1"/>
  <c r="G849" i="21"/>
  <c r="F849" i="21"/>
  <c r="F848" i="21" s="1"/>
  <c r="F847" i="21" s="1"/>
  <c r="F846" i="21" s="1"/>
  <c r="F845" i="21" s="1"/>
  <c r="G848" i="21"/>
  <c r="G847" i="21" s="1"/>
  <c r="G846" i="21" s="1"/>
  <c r="G845" i="21" s="1"/>
  <c r="H847" i="21"/>
  <c r="H846" i="21" s="1"/>
  <c r="H845" i="21" s="1"/>
  <c r="H844" i="21"/>
  <c r="G844" i="21"/>
  <c r="G843" i="21" s="1"/>
  <c r="G842" i="21" s="1"/>
  <c r="G841" i="21" s="1"/>
  <c r="H843" i="21"/>
  <c r="H842" i="21" s="1"/>
  <c r="H841" i="21" s="1"/>
  <c r="F843" i="21"/>
  <c r="F842" i="21" s="1"/>
  <c r="F841" i="21" s="1"/>
  <c r="H836" i="21"/>
  <c r="H835" i="21" s="1"/>
  <c r="H834" i="21" s="1"/>
  <c r="H833" i="21" s="1"/>
  <c r="H832" i="21" s="1"/>
  <c r="G836" i="21"/>
  <c r="G835" i="21" s="1"/>
  <c r="G834" i="21" s="1"/>
  <c r="G833" i="21" s="1"/>
  <c r="G832" i="21" s="1"/>
  <c r="F836" i="21"/>
  <c r="F835" i="21" s="1"/>
  <c r="F834" i="21" s="1"/>
  <c r="F833" i="21" s="1"/>
  <c r="F832" i="21" s="1"/>
  <c r="H830" i="21"/>
  <c r="H829" i="21" s="1"/>
  <c r="G830" i="21"/>
  <c r="G829" i="21" s="1"/>
  <c r="F830" i="21"/>
  <c r="F829" i="21" s="1"/>
  <c r="F828" i="21"/>
  <c r="H827" i="21"/>
  <c r="H826" i="21" s="1"/>
  <c r="G827" i="21"/>
  <c r="G826" i="21" s="1"/>
  <c r="F827" i="21"/>
  <c r="F826" i="21" s="1"/>
  <c r="H824" i="21"/>
  <c r="H823" i="21" s="1"/>
  <c r="G824" i="21"/>
  <c r="G823" i="21" s="1"/>
  <c r="F824" i="21"/>
  <c r="F823" i="21" s="1"/>
  <c r="F822" i="21"/>
  <c r="F821" i="21" s="1"/>
  <c r="F820" i="21" s="1"/>
  <c r="H821" i="21"/>
  <c r="H820" i="21" s="1"/>
  <c r="G821" i="21"/>
  <c r="G820" i="21" s="1"/>
  <c r="F819" i="21"/>
  <c r="H818" i="21"/>
  <c r="H817" i="21" s="1"/>
  <c r="G818" i="21"/>
  <c r="G817" i="21" s="1"/>
  <c r="F818" i="21"/>
  <c r="F817" i="21" s="1"/>
  <c r="H816" i="21"/>
  <c r="F816" i="21"/>
  <c r="H815" i="21"/>
  <c r="H814" i="21" s="1"/>
  <c r="G815" i="21"/>
  <c r="G814" i="21" s="1"/>
  <c r="F815" i="21"/>
  <c r="F814" i="21" s="1"/>
  <c r="H810" i="21"/>
  <c r="H809" i="21" s="1"/>
  <c r="G810" i="21"/>
  <c r="G809" i="21" s="1"/>
  <c r="F810" i="21"/>
  <c r="F809" i="21" s="1"/>
  <c r="F808" i="21"/>
  <c r="F807" i="21"/>
  <c r="H806" i="21"/>
  <c r="H805" i="21" s="1"/>
  <c r="G806" i="21"/>
  <c r="G805" i="21" s="1"/>
  <c r="F806" i="21"/>
  <c r="F805" i="21" s="1"/>
  <c r="H801" i="21"/>
  <c r="H800" i="21" s="1"/>
  <c r="H799" i="21" s="1"/>
  <c r="G801" i="21"/>
  <c r="G800" i="21" s="1"/>
  <c r="G799" i="21" s="1"/>
  <c r="F801" i="21"/>
  <c r="F800" i="21" s="1"/>
  <c r="F799" i="21" s="1"/>
  <c r="H796" i="21"/>
  <c r="H795" i="21" s="1"/>
  <c r="H794" i="21" s="1"/>
  <c r="H793" i="21" s="1"/>
  <c r="H792" i="21" s="1"/>
  <c r="G796" i="21"/>
  <c r="G795" i="21" s="1"/>
  <c r="G794" i="21" s="1"/>
  <c r="G793" i="21" s="1"/>
  <c r="G792" i="21" s="1"/>
  <c r="F796" i="21"/>
  <c r="F795" i="21" s="1"/>
  <c r="F794" i="21" s="1"/>
  <c r="F793" i="21" s="1"/>
  <c r="F792" i="21" s="1"/>
  <c r="H789" i="21"/>
  <c r="H788" i="21" s="1"/>
  <c r="H787" i="21" s="1"/>
  <c r="H786" i="21" s="1"/>
  <c r="G789" i="21"/>
  <c r="G788" i="21" s="1"/>
  <c r="G787" i="21" s="1"/>
  <c r="G786" i="21" s="1"/>
  <c r="F789" i="21"/>
  <c r="F788" i="21" s="1"/>
  <c r="F787" i="21" s="1"/>
  <c r="F786" i="21" s="1"/>
  <c r="F785" i="21"/>
  <c r="F784" i="21" s="1"/>
  <c r="H784" i="21"/>
  <c r="H781" i="21" s="1"/>
  <c r="G784" i="21"/>
  <c r="H782" i="21"/>
  <c r="G782" i="21"/>
  <c r="F782" i="21"/>
  <c r="H779" i="21"/>
  <c r="H778" i="21" s="1"/>
  <c r="G779" i="21"/>
  <c r="G778" i="21" s="1"/>
  <c r="F779" i="21"/>
  <c r="F778" i="21" s="1"/>
  <c r="H777" i="21"/>
  <c r="G777" i="21"/>
  <c r="H776" i="21"/>
  <c r="H775" i="21" s="1"/>
  <c r="G776" i="21"/>
  <c r="G775" i="21" s="1"/>
  <c r="F776" i="21"/>
  <c r="F775" i="21" s="1"/>
  <c r="G774" i="21"/>
  <c r="H773" i="21"/>
  <c r="H772" i="21" s="1"/>
  <c r="G773" i="21"/>
  <c r="G772" i="21" s="1"/>
  <c r="F773" i="21"/>
  <c r="F772" i="21" s="1"/>
  <c r="H769" i="21"/>
  <c r="G769" i="21"/>
  <c r="F769" i="21"/>
  <c r="H768" i="21"/>
  <c r="G768" i="21"/>
  <c r="G767" i="21" s="1"/>
  <c r="F768" i="21"/>
  <c r="H767" i="21"/>
  <c r="F767" i="21"/>
  <c r="H765" i="21"/>
  <c r="H764" i="21" s="1"/>
  <c r="H763" i="21" s="1"/>
  <c r="G765" i="21"/>
  <c r="F765" i="21"/>
  <c r="G764" i="21"/>
  <c r="G763" i="21" s="1"/>
  <c r="F764" i="21"/>
  <c r="F763" i="21"/>
  <c r="H758" i="21"/>
  <c r="H757" i="21" s="1"/>
  <c r="G758" i="21"/>
  <c r="G757" i="21" s="1"/>
  <c r="F758" i="21"/>
  <c r="F757" i="21" s="1"/>
  <c r="H755" i="21"/>
  <c r="H754" i="21" s="1"/>
  <c r="G755" i="21"/>
  <c r="G754" i="21" s="1"/>
  <c r="F755" i="21"/>
  <c r="F754" i="21" s="1"/>
  <c r="H750" i="21"/>
  <c r="H749" i="21" s="1"/>
  <c r="G750" i="21"/>
  <c r="G749" i="21" s="1"/>
  <c r="F750" i="21"/>
  <c r="F749" i="21" s="1"/>
  <c r="G748" i="21"/>
  <c r="H747" i="21"/>
  <c r="H746" i="21" s="1"/>
  <c r="G747" i="21"/>
  <c r="G746" i="21" s="1"/>
  <c r="F747" i="21"/>
  <c r="F746" i="21" s="1"/>
  <c r="F745" i="21"/>
  <c r="H744" i="21"/>
  <c r="H743" i="21" s="1"/>
  <c r="G744" i="21"/>
  <c r="G743" i="21" s="1"/>
  <c r="F744" i="21"/>
  <c r="F743" i="21" s="1"/>
  <c r="H742" i="21"/>
  <c r="H741" i="21" s="1"/>
  <c r="H740" i="21" s="1"/>
  <c r="G742" i="21"/>
  <c r="F742" i="21"/>
  <c r="F741" i="21" s="1"/>
  <c r="F740" i="21" s="1"/>
  <c r="G741" i="21"/>
  <c r="G740" i="21" s="1"/>
  <c r="H737" i="21"/>
  <c r="H736" i="21" s="1"/>
  <c r="H735" i="21" s="1"/>
  <c r="G737" i="21"/>
  <c r="G736" i="21" s="1"/>
  <c r="G735" i="21" s="1"/>
  <c r="F737" i="21"/>
  <c r="F736" i="21" s="1"/>
  <c r="F735" i="21" s="1"/>
  <c r="H732" i="21"/>
  <c r="H731" i="21" s="1"/>
  <c r="G732" i="21"/>
  <c r="G731" i="21" s="1"/>
  <c r="F732" i="21"/>
  <c r="F731" i="21" s="1"/>
  <c r="H729" i="21"/>
  <c r="H728" i="21" s="1"/>
  <c r="G729" i="21"/>
  <c r="G728" i="21" s="1"/>
  <c r="F729" i="21"/>
  <c r="F728" i="21" s="1"/>
  <c r="H726" i="21"/>
  <c r="H725" i="21" s="1"/>
  <c r="G726" i="21"/>
  <c r="G725" i="21" s="1"/>
  <c r="F726" i="21"/>
  <c r="F725" i="21" s="1"/>
  <c r="H723" i="21"/>
  <c r="H722" i="21" s="1"/>
  <c r="G723" i="21"/>
  <c r="G722" i="21" s="1"/>
  <c r="F723" i="21"/>
  <c r="F722" i="21" s="1"/>
  <c r="H720" i="21"/>
  <c r="H719" i="21" s="1"/>
  <c r="G720" i="21"/>
  <c r="G719" i="21" s="1"/>
  <c r="F720" i="21"/>
  <c r="F719" i="21" s="1"/>
  <c r="H717" i="21"/>
  <c r="H716" i="21" s="1"/>
  <c r="G717" i="21"/>
  <c r="G716" i="21" s="1"/>
  <c r="F717" i="21"/>
  <c r="F716" i="21" s="1"/>
  <c r="H714" i="21"/>
  <c r="H713" i="21" s="1"/>
  <c r="G714" i="21"/>
  <c r="G713" i="21" s="1"/>
  <c r="F714" i="21"/>
  <c r="F713" i="21" s="1"/>
  <c r="H711" i="21"/>
  <c r="G711" i="21"/>
  <c r="F711" i="21"/>
  <c r="H709" i="21"/>
  <c r="G709" i="21"/>
  <c r="F709" i="21"/>
  <c r="H706" i="21"/>
  <c r="H705" i="21" s="1"/>
  <c r="G706" i="21"/>
  <c r="G705" i="21" s="1"/>
  <c r="F706" i="21"/>
  <c r="F705" i="21" s="1"/>
  <c r="H704" i="21"/>
  <c r="G704" i="21"/>
  <c r="F704" i="21"/>
  <c r="H703" i="21"/>
  <c r="H702" i="21" s="1"/>
  <c r="G703" i="21"/>
  <c r="G702" i="21" s="1"/>
  <c r="F703" i="21"/>
  <c r="F702" i="21" s="1"/>
  <c r="H696" i="21"/>
  <c r="H695" i="21" s="1"/>
  <c r="H694" i="21" s="1"/>
  <c r="H693" i="21" s="1"/>
  <c r="G696" i="21"/>
  <c r="G695" i="21" s="1"/>
  <c r="G694" i="21" s="1"/>
  <c r="G693" i="21" s="1"/>
  <c r="F696" i="21"/>
  <c r="F695" i="21" s="1"/>
  <c r="F694" i="21" s="1"/>
  <c r="F693" i="21" s="1"/>
  <c r="H691" i="21"/>
  <c r="G691" i="21"/>
  <c r="F691" i="21"/>
  <c r="G690" i="21"/>
  <c r="F690" i="21"/>
  <c r="F689" i="21" s="1"/>
  <c r="H689" i="21"/>
  <c r="G689" i="21"/>
  <c r="H687" i="21"/>
  <c r="G687" i="21"/>
  <c r="H686" i="21"/>
  <c r="H685" i="21" s="1"/>
  <c r="G686" i="21"/>
  <c r="G685" i="21" s="1"/>
  <c r="F686" i="21"/>
  <c r="F685" i="21" s="1"/>
  <c r="H684" i="21"/>
  <c r="G684" i="21"/>
  <c r="G683" i="21" s="1"/>
  <c r="G682" i="21" s="1"/>
  <c r="F684" i="21"/>
  <c r="H683" i="21"/>
  <c r="H682" i="21" s="1"/>
  <c r="F683" i="21"/>
  <c r="F682" i="21" s="1"/>
  <c r="H679" i="21"/>
  <c r="G679" i="21"/>
  <c r="F679" i="21"/>
  <c r="F678" i="21"/>
  <c r="H677" i="21"/>
  <c r="H676" i="21" s="1"/>
  <c r="G677" i="21"/>
  <c r="F677" i="21"/>
  <c r="F676" i="21" s="1"/>
  <c r="G676" i="21"/>
  <c r="F675" i="21"/>
  <c r="F674" i="21" s="1"/>
  <c r="F673" i="21" s="1"/>
  <c r="H674" i="21"/>
  <c r="G674" i="21"/>
  <c r="G673" i="21" s="1"/>
  <c r="H673" i="21"/>
  <c r="F669" i="21"/>
  <c r="F668" i="21" s="1"/>
  <c r="H668" i="21"/>
  <c r="G668" i="21"/>
  <c r="F667" i="21"/>
  <c r="F666" i="21" s="1"/>
  <c r="H666" i="21"/>
  <c r="G666" i="21"/>
  <c r="H664" i="21"/>
  <c r="G664" i="21"/>
  <c r="G663" i="21" s="1"/>
  <c r="F664" i="21"/>
  <c r="F662" i="21"/>
  <c r="F661" i="21" s="1"/>
  <c r="H661" i="21"/>
  <c r="G661" i="21"/>
  <c r="G658" i="21" s="1"/>
  <c r="H659" i="21"/>
  <c r="G659" i="21"/>
  <c r="F659" i="21"/>
  <c r="H656" i="21"/>
  <c r="G656" i="21"/>
  <c r="F656" i="21"/>
  <c r="H654" i="21"/>
  <c r="G654" i="21"/>
  <c r="F654" i="21"/>
  <c r="H653" i="21"/>
  <c r="H652" i="21" s="1"/>
  <c r="G653" i="21"/>
  <c r="F653" i="21"/>
  <c r="F652" i="21" s="1"/>
  <c r="G652" i="21"/>
  <c r="F648" i="21"/>
  <c r="F647" i="21"/>
  <c r="F646" i="21" s="1"/>
  <c r="F645" i="21" s="1"/>
  <c r="H646" i="21"/>
  <c r="H645" i="21" s="1"/>
  <c r="G646" i="21"/>
  <c r="G645" i="21" s="1"/>
  <c r="F644" i="21"/>
  <c r="F643" i="21"/>
  <c r="F642" i="21" s="1"/>
  <c r="F641" i="21" s="1"/>
  <c r="H642" i="21"/>
  <c r="H641" i="21" s="1"/>
  <c r="H640" i="21" s="1"/>
  <c r="G642" i="21"/>
  <c r="G641" i="21" s="1"/>
  <c r="H637" i="21"/>
  <c r="H636" i="21" s="1"/>
  <c r="G637" i="21"/>
  <c r="F637" i="21"/>
  <c r="F636" i="21" s="1"/>
  <c r="F635" i="21" s="1"/>
  <c r="F634" i="21" s="1"/>
  <c r="F633" i="21" s="1"/>
  <c r="G636" i="21"/>
  <c r="G635" i="21" s="1"/>
  <c r="G634" i="21" s="1"/>
  <c r="G633" i="21" s="1"/>
  <c r="H635" i="21"/>
  <c r="H634" i="21" s="1"/>
  <c r="H633" i="21" s="1"/>
  <c r="H631" i="21"/>
  <c r="H630" i="21" s="1"/>
  <c r="H629" i="21" s="1"/>
  <c r="H628" i="21" s="1"/>
  <c r="H627" i="21" s="1"/>
  <c r="G631" i="21"/>
  <c r="G630" i="21" s="1"/>
  <c r="G629" i="21" s="1"/>
  <c r="G628" i="21" s="1"/>
  <c r="F631" i="21"/>
  <c r="F630" i="21" s="1"/>
  <c r="F629" i="21" s="1"/>
  <c r="F628" i="21" s="1"/>
  <c r="F626" i="21"/>
  <c r="F625" i="21" s="1"/>
  <c r="F624" i="21" s="1"/>
  <c r="F623" i="21" s="1"/>
  <c r="F622" i="21" s="1"/>
  <c r="F621" i="21" s="1"/>
  <c r="H625" i="21"/>
  <c r="H624" i="21" s="1"/>
  <c r="H623" i="21" s="1"/>
  <c r="H622" i="21" s="1"/>
  <c r="H621" i="21" s="1"/>
  <c r="G625" i="21"/>
  <c r="G624" i="21" s="1"/>
  <c r="G623" i="21" s="1"/>
  <c r="G622" i="21" s="1"/>
  <c r="G621" i="21" s="1"/>
  <c r="F620" i="21"/>
  <c r="F619" i="21" s="1"/>
  <c r="F618" i="21" s="1"/>
  <c r="F617" i="21" s="1"/>
  <c r="F616" i="21" s="1"/>
  <c r="H619" i="21"/>
  <c r="H618" i="21" s="1"/>
  <c r="H617" i="21" s="1"/>
  <c r="H616" i="21" s="1"/>
  <c r="G619" i="21"/>
  <c r="G618" i="21" s="1"/>
  <c r="G617" i="21" s="1"/>
  <c r="G616" i="21" s="1"/>
  <c r="H612" i="21"/>
  <c r="H611" i="21" s="1"/>
  <c r="H610" i="21" s="1"/>
  <c r="G612" i="21"/>
  <c r="G611" i="21" s="1"/>
  <c r="G610" i="21" s="1"/>
  <c r="F612" i="21"/>
  <c r="F611" i="21" s="1"/>
  <c r="F610" i="21" s="1"/>
  <c r="H608" i="21"/>
  <c r="H607" i="21" s="1"/>
  <c r="H606" i="21" s="1"/>
  <c r="G608" i="21"/>
  <c r="G607" i="21" s="1"/>
  <c r="G606" i="21" s="1"/>
  <c r="F607" i="21"/>
  <c r="F606" i="21"/>
  <c r="F605" i="21"/>
  <c r="H604" i="21"/>
  <c r="H603" i="21" s="1"/>
  <c r="H602" i="21" s="1"/>
  <c r="G604" i="21"/>
  <c r="G603" i="21" s="1"/>
  <c r="G602" i="21" s="1"/>
  <c r="F604" i="21"/>
  <c r="F603" i="21" s="1"/>
  <c r="F602" i="21" s="1"/>
  <c r="F601" i="21"/>
  <c r="H599" i="21"/>
  <c r="H598" i="21" s="1"/>
  <c r="G599" i="21"/>
  <c r="G598" i="21" s="1"/>
  <c r="F599" i="21"/>
  <c r="F598" i="21" s="1"/>
  <c r="F596" i="21"/>
  <c r="F595" i="21" s="1"/>
  <c r="F594" i="21" s="1"/>
  <c r="H595" i="21"/>
  <c r="H594" i="21" s="1"/>
  <c r="G595" i="21"/>
  <c r="G594" i="21" s="1"/>
  <c r="F593" i="21"/>
  <c r="F592" i="21"/>
  <c r="F591" i="21" s="1"/>
  <c r="F590" i="21" s="1"/>
  <c r="H591" i="21"/>
  <c r="H590" i="21" s="1"/>
  <c r="G591" i="21"/>
  <c r="G590" i="21" s="1"/>
  <c r="H587" i="21"/>
  <c r="H586" i="21" s="1"/>
  <c r="G587" i="21"/>
  <c r="G586" i="21" s="1"/>
  <c r="F587" i="21"/>
  <c r="F586" i="21" s="1"/>
  <c r="F585" i="21"/>
  <c r="F584" i="21"/>
  <c r="F583" i="21" s="1"/>
  <c r="F582" i="21" s="1"/>
  <c r="H583" i="21"/>
  <c r="H582" i="21" s="1"/>
  <c r="G583" i="21"/>
  <c r="G582" i="21" s="1"/>
  <c r="F580" i="21"/>
  <c r="H579" i="21"/>
  <c r="H578" i="21" s="1"/>
  <c r="G579" i="21"/>
  <c r="G578" i="21" s="1"/>
  <c r="F579" i="21"/>
  <c r="F578" i="21" s="1"/>
  <c r="F574" i="21"/>
  <c r="F573" i="21"/>
  <c r="F572" i="21" s="1"/>
  <c r="F571" i="21" s="1"/>
  <c r="H572" i="21"/>
  <c r="H571" i="21" s="1"/>
  <c r="G572" i="21"/>
  <c r="G571" i="21" s="1"/>
  <c r="F570" i="21"/>
  <c r="F569" i="21"/>
  <c r="F568" i="21" s="1"/>
  <c r="F567" i="21" s="1"/>
  <c r="F566" i="21" s="1"/>
  <c r="F565" i="21" s="1"/>
  <c r="F564" i="21" s="1"/>
  <c r="H568" i="21"/>
  <c r="H567" i="21" s="1"/>
  <c r="G568" i="21"/>
  <c r="G567" i="21" s="1"/>
  <c r="G566" i="21" s="1"/>
  <c r="G565" i="21" s="1"/>
  <c r="G564" i="21" s="1"/>
  <c r="F562" i="21"/>
  <c r="G561" i="21"/>
  <c r="G560" i="21" s="1"/>
  <c r="F561" i="21"/>
  <c r="F560" i="21" s="1"/>
  <c r="F559" i="21"/>
  <c r="F558" i="21" s="1"/>
  <c r="H558" i="21"/>
  <c r="G558" i="21"/>
  <c r="H556" i="21"/>
  <c r="G556" i="21"/>
  <c r="F556" i="21"/>
  <c r="H554" i="21"/>
  <c r="H553" i="21" s="1"/>
  <c r="G554" i="21"/>
  <c r="F554" i="21"/>
  <c r="F553" i="21" s="1"/>
  <c r="F552" i="21" s="1"/>
  <c r="G553" i="21"/>
  <c r="G552" i="21" s="1"/>
  <c r="H552" i="21"/>
  <c r="F549" i="21"/>
  <c r="H548" i="21"/>
  <c r="G548" i="21"/>
  <c r="F548" i="21"/>
  <c r="H546" i="21"/>
  <c r="G546" i="21"/>
  <c r="F546" i="21"/>
  <c r="F545" i="21"/>
  <c r="F544" i="21" s="1"/>
  <c r="H544" i="21"/>
  <c r="G544" i="21"/>
  <c r="H540" i="21"/>
  <c r="G540" i="21"/>
  <c r="F540" i="21"/>
  <c r="F537" i="21" s="1"/>
  <c r="H538" i="21"/>
  <c r="G538" i="21"/>
  <c r="F538" i="21"/>
  <c r="F536" i="21"/>
  <c r="H535" i="21"/>
  <c r="H534" i="21" s="1"/>
  <c r="G535" i="21"/>
  <c r="G534" i="21" s="1"/>
  <c r="F535" i="21"/>
  <c r="F534" i="21" s="1"/>
  <c r="F533" i="21"/>
  <c r="H529" i="21"/>
  <c r="G529" i="21"/>
  <c r="F529" i="21"/>
  <c r="F528" i="21"/>
  <c r="F527" i="21" s="1"/>
  <c r="F526" i="21" s="1"/>
  <c r="H527" i="21"/>
  <c r="H526" i="21" s="1"/>
  <c r="G527" i="21"/>
  <c r="G526" i="21" s="1"/>
  <c r="H525" i="21"/>
  <c r="G525" i="21"/>
  <c r="G524" i="21" s="1"/>
  <c r="F525" i="21"/>
  <c r="H524" i="21"/>
  <c r="H523" i="21" s="1"/>
  <c r="F524" i="21"/>
  <c r="F523" i="21" s="1"/>
  <c r="G523" i="21"/>
  <c r="H518" i="21"/>
  <c r="H517" i="21" s="1"/>
  <c r="G518" i="21"/>
  <c r="G517" i="21" s="1"/>
  <c r="F518" i="21"/>
  <c r="F517" i="21"/>
  <c r="F516" i="21"/>
  <c r="H515" i="21"/>
  <c r="H514" i="21" s="1"/>
  <c r="G515" i="21"/>
  <c r="G514" i="21" s="1"/>
  <c r="F515" i="21"/>
  <c r="F514" i="21" s="1"/>
  <c r="F513" i="21" s="1"/>
  <c r="F512" i="21" s="1"/>
  <c r="H510" i="21"/>
  <c r="H509" i="21" s="1"/>
  <c r="G510" i="21"/>
  <c r="G509" i="21" s="1"/>
  <c r="F510" i="21"/>
  <c r="F509" i="21" s="1"/>
  <c r="H507" i="21"/>
  <c r="H506" i="21" s="1"/>
  <c r="G507" i="21"/>
  <c r="G506" i="21" s="1"/>
  <c r="F507" i="21"/>
  <c r="F506" i="21" s="1"/>
  <c r="H503" i="21"/>
  <c r="H502" i="21" s="1"/>
  <c r="G503" i="21"/>
  <c r="G502" i="21" s="1"/>
  <c r="F503" i="21"/>
  <c r="F502" i="21" s="1"/>
  <c r="H501" i="21"/>
  <c r="G501" i="21"/>
  <c r="G500" i="21" s="1"/>
  <c r="G499" i="21" s="1"/>
  <c r="F501" i="21"/>
  <c r="H500" i="21"/>
  <c r="H499" i="21" s="1"/>
  <c r="F500" i="21"/>
  <c r="F499" i="21" s="1"/>
  <c r="G497" i="21"/>
  <c r="H496" i="21"/>
  <c r="H495" i="21" s="1"/>
  <c r="G496" i="21"/>
  <c r="G495" i="21" s="1"/>
  <c r="F496" i="21"/>
  <c r="F495" i="21" s="1"/>
  <c r="H493" i="21"/>
  <c r="H492" i="21" s="1"/>
  <c r="G493" i="21"/>
  <c r="G492" i="21" s="1"/>
  <c r="F493" i="21"/>
  <c r="F492" i="21" s="1"/>
  <c r="H489" i="21"/>
  <c r="H488" i="21" s="1"/>
  <c r="G489" i="21"/>
  <c r="F489" i="21"/>
  <c r="F488" i="21" s="1"/>
  <c r="F487" i="21" s="1"/>
  <c r="G488" i="21"/>
  <c r="G487" i="21" s="1"/>
  <c r="H487" i="21"/>
  <c r="H486" i="21"/>
  <c r="G486" i="21"/>
  <c r="G485" i="21" s="1"/>
  <c r="G484" i="21" s="1"/>
  <c r="F486" i="21"/>
  <c r="H485" i="21"/>
  <c r="H484" i="21" s="1"/>
  <c r="F485" i="21"/>
  <c r="F484" i="21" s="1"/>
  <c r="H483" i="21"/>
  <c r="H482" i="21" s="1"/>
  <c r="H481" i="21" s="1"/>
  <c r="G483" i="21"/>
  <c r="F483" i="21"/>
  <c r="F482" i="21" s="1"/>
  <c r="F481" i="21" s="1"/>
  <c r="G482" i="21"/>
  <c r="G481" i="21" s="1"/>
  <c r="H479" i="21"/>
  <c r="H478" i="21" s="1"/>
  <c r="G479" i="21"/>
  <c r="G478" i="21" s="1"/>
  <c r="F479" i="21"/>
  <c r="F478" i="21" s="1"/>
  <c r="H476" i="21"/>
  <c r="H475" i="21" s="1"/>
  <c r="G476" i="21"/>
  <c r="G475" i="21" s="1"/>
  <c r="F476" i="21"/>
  <c r="F475" i="21" s="1"/>
  <c r="H473" i="21"/>
  <c r="H472" i="21" s="1"/>
  <c r="G473" i="21"/>
  <c r="G472" i="21" s="1"/>
  <c r="F473" i="21"/>
  <c r="F472" i="21" s="1"/>
  <c r="H470" i="21"/>
  <c r="H469" i="21" s="1"/>
  <c r="G470" i="21"/>
  <c r="G469" i="21" s="1"/>
  <c r="F470" i="21"/>
  <c r="F469" i="21" s="1"/>
  <c r="H468" i="21"/>
  <c r="H467" i="21" s="1"/>
  <c r="H466" i="21" s="1"/>
  <c r="G468" i="21"/>
  <c r="F467" i="21"/>
  <c r="F466" i="21" s="1"/>
  <c r="G467" i="21"/>
  <c r="G466" i="21" s="1"/>
  <c r="G463" i="21"/>
  <c r="F463" i="21"/>
  <c r="H462" i="21"/>
  <c r="G462" i="21"/>
  <c r="F462" i="21"/>
  <c r="F461" i="21"/>
  <c r="H460" i="21"/>
  <c r="G460" i="21"/>
  <c r="F460" i="21"/>
  <c r="F459" i="21"/>
  <c r="G458" i="21"/>
  <c r="H457" i="21"/>
  <c r="H456" i="21" s="1"/>
  <c r="G457" i="21"/>
  <c r="G456" i="21" s="1"/>
  <c r="F457" i="21"/>
  <c r="F456" i="21" s="1"/>
  <c r="F455" i="21" s="1"/>
  <c r="H453" i="21"/>
  <c r="H452" i="21" s="1"/>
  <c r="H451" i="21" s="1"/>
  <c r="G453" i="21"/>
  <c r="G452" i="21" s="1"/>
  <c r="G451" i="21" s="1"/>
  <c r="F453" i="21"/>
  <c r="F452" i="21" s="1"/>
  <c r="F451" i="21" s="1"/>
  <c r="H449" i="21"/>
  <c r="H448" i="21" s="1"/>
  <c r="H447" i="21" s="1"/>
  <c r="G449" i="21"/>
  <c r="G448" i="21" s="1"/>
  <c r="G447" i="21" s="1"/>
  <c r="F449" i="21"/>
  <c r="F448" i="21" s="1"/>
  <c r="F447" i="21" s="1"/>
  <c r="H445" i="21"/>
  <c r="H444" i="21" s="1"/>
  <c r="G445" i="21"/>
  <c r="G444" i="21" s="1"/>
  <c r="F445" i="21"/>
  <c r="F444" i="21" s="1"/>
  <c r="G443" i="21"/>
  <c r="G442" i="21" s="1"/>
  <c r="F443" i="21"/>
  <c r="H442" i="21"/>
  <c r="F442" i="21"/>
  <c r="G441" i="21"/>
  <c r="F441" i="21"/>
  <c r="H440" i="21"/>
  <c r="H439" i="21" s="1"/>
  <c r="H438" i="21" s="1"/>
  <c r="G440" i="21"/>
  <c r="F440" i="21"/>
  <c r="H436" i="21"/>
  <c r="H435" i="21" s="1"/>
  <c r="G436" i="21"/>
  <c r="G435" i="21" s="1"/>
  <c r="F436" i="21"/>
  <c r="F435" i="21" s="1"/>
  <c r="H433" i="21"/>
  <c r="H432" i="21" s="1"/>
  <c r="G433" i="21"/>
  <c r="G432" i="21" s="1"/>
  <c r="F433" i="21"/>
  <c r="F432" i="21" s="1"/>
  <c r="G431" i="21"/>
  <c r="G430" i="21" s="1"/>
  <c r="H430" i="21"/>
  <c r="F430" i="21"/>
  <c r="G429" i="21"/>
  <c r="G428" i="21" s="1"/>
  <c r="H428" i="21"/>
  <c r="F428" i="21"/>
  <c r="F423" i="21"/>
  <c r="F422" i="21" s="1"/>
  <c r="F421" i="21" s="1"/>
  <c r="H422" i="21"/>
  <c r="H421" i="21" s="1"/>
  <c r="G422" i="21"/>
  <c r="G421" i="21" s="1"/>
  <c r="F420" i="21"/>
  <c r="H419" i="21"/>
  <c r="H418" i="21" s="1"/>
  <c r="G419" i="21"/>
  <c r="G418" i="21" s="1"/>
  <c r="F419" i="21"/>
  <c r="F418" i="21" s="1"/>
  <c r="H415" i="21"/>
  <c r="H414" i="21" s="1"/>
  <c r="G415" i="21"/>
  <c r="G414" i="21" s="1"/>
  <c r="F415" i="21"/>
  <c r="F414" i="21" s="1"/>
  <c r="F413" i="21"/>
  <c r="H412" i="21"/>
  <c r="H411" i="21" s="1"/>
  <c r="G412" i="21"/>
  <c r="G411" i="21" s="1"/>
  <c r="F412" i="21"/>
  <c r="F411" i="21" s="1"/>
  <c r="H408" i="21"/>
  <c r="H407" i="21" s="1"/>
  <c r="G408" i="21"/>
  <c r="G407" i="21" s="1"/>
  <c r="F408" i="21"/>
  <c r="F407" i="21"/>
  <c r="F406" i="21"/>
  <c r="H405" i="21"/>
  <c r="H404" i="21" s="1"/>
  <c r="G405" i="21"/>
  <c r="G404" i="21" s="1"/>
  <c r="F405" i="21"/>
  <c r="F404" i="21" s="1"/>
  <c r="F403" i="21"/>
  <c r="H402" i="21"/>
  <c r="H401" i="21" s="1"/>
  <c r="G402" i="21"/>
  <c r="G401" i="21" s="1"/>
  <c r="F402" i="21"/>
  <c r="F401" i="21" s="1"/>
  <c r="F400" i="21"/>
  <c r="H399" i="21"/>
  <c r="H398" i="21" s="1"/>
  <c r="G399" i="21"/>
  <c r="G398" i="21" s="1"/>
  <c r="F399" i="21"/>
  <c r="F398" i="21" s="1"/>
  <c r="F397" i="21"/>
  <c r="F396" i="21" s="1"/>
  <c r="F395" i="21" s="1"/>
  <c r="H396" i="21"/>
  <c r="H395" i="21" s="1"/>
  <c r="G396" i="21"/>
  <c r="G395" i="21" s="1"/>
  <c r="G393" i="21"/>
  <c r="F393" i="21"/>
  <c r="H392" i="21"/>
  <c r="H391" i="21" s="1"/>
  <c r="G392" i="21"/>
  <c r="G391" i="21" s="1"/>
  <c r="F392" i="21"/>
  <c r="F391" i="21" s="1"/>
  <c r="F390" i="21"/>
  <c r="H389" i="21"/>
  <c r="H388" i="21" s="1"/>
  <c r="G389" i="21"/>
  <c r="G388" i="21" s="1"/>
  <c r="F389" i="21"/>
  <c r="F388" i="21" s="1"/>
  <c r="H385" i="21"/>
  <c r="H384" i="21" s="1"/>
  <c r="H383" i="21" s="1"/>
  <c r="G385" i="21"/>
  <c r="G384" i="21" s="1"/>
  <c r="G383" i="21" s="1"/>
  <c r="F385" i="21"/>
  <c r="F384" i="21" s="1"/>
  <c r="F383" i="21" s="1"/>
  <c r="H375" i="21"/>
  <c r="G375" i="21"/>
  <c r="F375" i="21"/>
  <c r="H374" i="21"/>
  <c r="G374" i="21"/>
  <c r="F374" i="21"/>
  <c r="H373" i="21"/>
  <c r="G373" i="21"/>
  <c r="F373" i="21"/>
  <c r="H369" i="21"/>
  <c r="H368" i="21" s="1"/>
  <c r="G369" i="21"/>
  <c r="G368" i="21" s="1"/>
  <c r="F369" i="21"/>
  <c r="F368" i="21" s="1"/>
  <c r="H366" i="21"/>
  <c r="H365" i="21" s="1"/>
  <c r="G366" i="21"/>
  <c r="G365" i="21" s="1"/>
  <c r="F366" i="21"/>
  <c r="F365" i="21" s="1"/>
  <c r="H363" i="21"/>
  <c r="H362" i="21" s="1"/>
  <c r="G363" i="21"/>
  <c r="G362" i="21" s="1"/>
  <c r="F363" i="21"/>
  <c r="F362" i="21" s="1"/>
  <c r="F361" i="21"/>
  <c r="H360" i="21"/>
  <c r="H359" i="21" s="1"/>
  <c r="G360" i="21"/>
  <c r="G359" i="21" s="1"/>
  <c r="F360" i="21"/>
  <c r="F359" i="21" s="1"/>
  <c r="H355" i="21"/>
  <c r="H354" i="21" s="1"/>
  <c r="G355" i="21"/>
  <c r="G354" i="21" s="1"/>
  <c r="F355" i="21"/>
  <c r="F354" i="21" s="1"/>
  <c r="G353" i="21"/>
  <c r="H352" i="21"/>
  <c r="H351" i="21" s="1"/>
  <c r="G352" i="21"/>
  <c r="G351" i="21" s="1"/>
  <c r="F352" i="21"/>
  <c r="F351" i="21" s="1"/>
  <c r="F350" i="21"/>
  <c r="H349" i="21"/>
  <c r="H348" i="21" s="1"/>
  <c r="G349" i="21"/>
  <c r="G348" i="21" s="1"/>
  <c r="F349" i="21"/>
  <c r="F348" i="21" s="1"/>
  <c r="H345" i="21"/>
  <c r="H344" i="21" s="1"/>
  <c r="H343" i="21" s="1"/>
  <c r="H342" i="21" s="1"/>
  <c r="G345" i="21"/>
  <c r="G344" i="21" s="1"/>
  <c r="G343" i="21" s="1"/>
  <c r="G342" i="21" s="1"/>
  <c r="F345" i="21"/>
  <c r="F344" i="21" s="1"/>
  <c r="F343" i="21" s="1"/>
  <c r="F342" i="21" s="1"/>
  <c r="H341" i="21"/>
  <c r="G341" i="21"/>
  <c r="G340" i="21" s="1"/>
  <c r="G339" i="21" s="1"/>
  <c r="F341" i="21"/>
  <c r="H340" i="21"/>
  <c r="H339" i="21" s="1"/>
  <c r="F340" i="21"/>
  <c r="F339" i="21" s="1"/>
  <c r="H338" i="21"/>
  <c r="H337" i="21" s="1"/>
  <c r="H336" i="21" s="1"/>
  <c r="G338" i="21"/>
  <c r="F338" i="21"/>
  <c r="G337" i="21"/>
  <c r="G336" i="21" s="1"/>
  <c r="F337" i="21"/>
  <c r="F336" i="21" s="1"/>
  <c r="H334" i="21"/>
  <c r="H333" i="21" s="1"/>
  <c r="G334" i="21"/>
  <c r="G333" i="21" s="1"/>
  <c r="F334" i="21"/>
  <c r="F333" i="21" s="1"/>
  <c r="H331" i="21"/>
  <c r="H330" i="21" s="1"/>
  <c r="G331" i="21"/>
  <c r="G330" i="21" s="1"/>
  <c r="F331" i="21"/>
  <c r="F330" i="21" s="1"/>
  <c r="H329" i="21"/>
  <c r="H328" i="21" s="1"/>
  <c r="H327" i="21" s="1"/>
  <c r="G329" i="21"/>
  <c r="G328" i="21"/>
  <c r="G327" i="21" s="1"/>
  <c r="F328" i="21"/>
  <c r="F327" i="21" s="1"/>
  <c r="H325" i="21"/>
  <c r="H324" i="21" s="1"/>
  <c r="G325" i="21"/>
  <c r="G324" i="21" s="1"/>
  <c r="F325" i="21"/>
  <c r="F324" i="21" s="1"/>
  <c r="H320" i="21"/>
  <c r="H319" i="21" s="1"/>
  <c r="H318" i="21" s="1"/>
  <c r="G320" i="21"/>
  <c r="G319" i="21" s="1"/>
  <c r="G318" i="21" s="1"/>
  <c r="F320" i="21"/>
  <c r="F319" i="21" s="1"/>
  <c r="F318" i="21" s="1"/>
  <c r="H316" i="21"/>
  <c r="G316" i="21"/>
  <c r="F316" i="21"/>
  <c r="F315" i="21"/>
  <c r="H314" i="21"/>
  <c r="G314" i="21"/>
  <c r="F314" i="21"/>
  <c r="F313" i="21"/>
  <c r="H312" i="21"/>
  <c r="H311" i="21" s="1"/>
  <c r="H310" i="21" s="1"/>
  <c r="H309" i="21" s="1"/>
  <c r="G312" i="21"/>
  <c r="G311" i="21" s="1"/>
  <c r="G310" i="21" s="1"/>
  <c r="G309" i="21" s="1"/>
  <c r="F312" i="21"/>
  <c r="F311" i="21" s="1"/>
  <c r="F310" i="21" s="1"/>
  <c r="F309" i="21" s="1"/>
  <c r="H307" i="21"/>
  <c r="H306" i="21" s="1"/>
  <c r="G307" i="21"/>
  <c r="G306" i="21" s="1"/>
  <c r="F307" i="21"/>
  <c r="F306" i="21" s="1"/>
  <c r="F305" i="21"/>
  <c r="F304" i="21" s="1"/>
  <c r="F303" i="21" s="1"/>
  <c r="H304" i="21"/>
  <c r="H303" i="21" s="1"/>
  <c r="G304" i="21"/>
  <c r="G303" i="21" s="1"/>
  <c r="H301" i="21"/>
  <c r="H300" i="21" s="1"/>
  <c r="G301" i="21"/>
  <c r="G300" i="21" s="1"/>
  <c r="F301" i="21"/>
  <c r="F300" i="21" s="1"/>
  <c r="F299" i="21"/>
  <c r="H298" i="21"/>
  <c r="G298" i="21"/>
  <c r="F298" i="21"/>
  <c r="F297" i="21"/>
  <c r="H296" i="21"/>
  <c r="H295" i="21" s="1"/>
  <c r="G296" i="21"/>
  <c r="G295" i="21" s="1"/>
  <c r="F296" i="21"/>
  <c r="F294" i="21"/>
  <c r="F293" i="21" s="1"/>
  <c r="H293" i="21"/>
  <c r="G293" i="21"/>
  <c r="F292" i="21"/>
  <c r="F291" i="21" s="1"/>
  <c r="H291" i="21"/>
  <c r="G291" i="21"/>
  <c r="H289" i="21"/>
  <c r="G289" i="21"/>
  <c r="G288" i="21" s="1"/>
  <c r="G287" i="21" s="1"/>
  <c r="H288" i="21"/>
  <c r="H287" i="21" s="1"/>
  <c r="F288" i="21"/>
  <c r="F287" i="21" s="1"/>
  <c r="H285" i="21"/>
  <c r="H284" i="21" s="1"/>
  <c r="G285" i="21"/>
  <c r="G284" i="21" s="1"/>
  <c r="F285" i="21"/>
  <c r="F284" i="21" s="1"/>
  <c r="H282" i="21"/>
  <c r="G282" i="21"/>
  <c r="F282" i="21"/>
  <c r="F281" i="21"/>
  <c r="F280" i="21" s="1"/>
  <c r="H280" i="21"/>
  <c r="H279" i="21" s="1"/>
  <c r="G280" i="21"/>
  <c r="G279" i="21" s="1"/>
  <c r="F275" i="21"/>
  <c r="F274" i="21" s="1"/>
  <c r="F273" i="21" s="1"/>
  <c r="F272" i="21" s="1"/>
  <c r="F271" i="21" s="1"/>
  <c r="G274" i="21"/>
  <c r="G273" i="21" s="1"/>
  <c r="G272" i="21" s="1"/>
  <c r="G271" i="21" s="1"/>
  <c r="F270" i="21"/>
  <c r="H269" i="21"/>
  <c r="H268" i="21" s="1"/>
  <c r="G269" i="21"/>
  <c r="G268" i="21" s="1"/>
  <c r="F269" i="21"/>
  <c r="F268" i="21" s="1"/>
  <c r="F266" i="21"/>
  <c r="F265" i="21" s="1"/>
  <c r="H266" i="21"/>
  <c r="H265" i="21" s="1"/>
  <c r="G266" i="21"/>
  <c r="G265" i="21" s="1"/>
  <c r="H263" i="21"/>
  <c r="H261" i="21" s="1"/>
  <c r="H260" i="21" s="1"/>
  <c r="G263" i="21"/>
  <c r="G261" i="21" s="1"/>
  <c r="G260" i="21" s="1"/>
  <c r="F263" i="21"/>
  <c r="F261" i="21"/>
  <c r="F260" i="21" s="1"/>
  <c r="F259" i="21"/>
  <c r="F258" i="21" s="1"/>
  <c r="F257" i="21" s="1"/>
  <c r="H258" i="21"/>
  <c r="H257" i="21" s="1"/>
  <c r="G258" i="21"/>
  <c r="G257" i="21" s="1"/>
  <c r="F254" i="21"/>
  <c r="F253" i="21" s="1"/>
  <c r="F250" i="21" s="1"/>
  <c r="H250" i="21"/>
  <c r="G250" i="21"/>
  <c r="F249" i="21"/>
  <c r="F248" i="21"/>
  <c r="F247" i="21" s="1"/>
  <c r="F246" i="21" s="1"/>
  <c r="H242" i="21"/>
  <c r="G242" i="21"/>
  <c r="F242" i="21"/>
  <c r="H240" i="21"/>
  <c r="G240" i="21"/>
  <c r="F240" i="21"/>
  <c r="H239" i="21"/>
  <c r="G239" i="21"/>
  <c r="F239" i="21"/>
  <c r="F238" i="21" s="1"/>
  <c r="H238" i="21"/>
  <c r="G238" i="21"/>
  <c r="F234" i="21"/>
  <c r="H233" i="21"/>
  <c r="H230" i="21" s="1"/>
  <c r="G233" i="21"/>
  <c r="G230" i="21" s="1"/>
  <c r="F233" i="21"/>
  <c r="F232" i="21"/>
  <c r="H231" i="21"/>
  <c r="G231" i="21"/>
  <c r="F231" i="21"/>
  <c r="F229" i="21"/>
  <c r="F228" i="21" s="1"/>
  <c r="F227" i="21" s="1"/>
  <c r="H228" i="21"/>
  <c r="H227" i="21" s="1"/>
  <c r="G228" i="21"/>
  <c r="G227" i="21"/>
  <c r="H224" i="21"/>
  <c r="G224" i="21"/>
  <c r="F224" i="21"/>
  <c r="F223" i="21"/>
  <c r="H222" i="21"/>
  <c r="G222" i="21"/>
  <c r="F222" i="21"/>
  <c r="H220" i="21"/>
  <c r="G220" i="21"/>
  <c r="F220" i="21"/>
  <c r="H214" i="21"/>
  <c r="H213" i="21" s="1"/>
  <c r="H212" i="21" s="1"/>
  <c r="H211" i="21" s="1"/>
  <c r="H210" i="21" s="1"/>
  <c r="G214" i="21"/>
  <c r="G213" i="21" s="1"/>
  <c r="G212" i="21" s="1"/>
  <c r="G211" i="21" s="1"/>
  <c r="G210" i="21" s="1"/>
  <c r="F214" i="21"/>
  <c r="F213" i="21" s="1"/>
  <c r="F212" i="21" s="1"/>
  <c r="F211" i="21" s="1"/>
  <c r="F210" i="21" s="1"/>
  <c r="H207" i="21"/>
  <c r="G207" i="21"/>
  <c r="F207" i="21"/>
  <c r="H206" i="21"/>
  <c r="G206" i="21"/>
  <c r="F206" i="21"/>
  <c r="H205" i="21"/>
  <c r="G205" i="21"/>
  <c r="F205" i="21"/>
  <c r="H204" i="21"/>
  <c r="G204" i="21"/>
  <c r="G203" i="21" s="1"/>
  <c r="F204" i="21"/>
  <c r="H203" i="21"/>
  <c r="F203" i="21"/>
  <c r="F200" i="21"/>
  <c r="H199" i="21"/>
  <c r="H198" i="21" s="1"/>
  <c r="G199" i="21"/>
  <c r="G198" i="21" s="1"/>
  <c r="F199" i="21"/>
  <c r="F198" i="21" s="1"/>
  <c r="H192" i="21"/>
  <c r="H191" i="21" s="1"/>
  <c r="G192" i="21"/>
  <c r="G191" i="21" s="1"/>
  <c r="F192" i="21"/>
  <c r="F191" i="21" s="1"/>
  <c r="H190" i="21"/>
  <c r="H189" i="21" s="1"/>
  <c r="H188" i="21" s="1"/>
  <c r="G190" i="21"/>
  <c r="F190" i="21"/>
  <c r="G189" i="21"/>
  <c r="G188" i="21" s="1"/>
  <c r="F189" i="21"/>
  <c r="F188" i="21" s="1"/>
  <c r="H183" i="21"/>
  <c r="H182" i="21" s="1"/>
  <c r="G183" i="21"/>
  <c r="G182" i="21" s="1"/>
  <c r="F183" i="21"/>
  <c r="F182" i="21" s="1"/>
  <c r="H180" i="21"/>
  <c r="H179" i="21" s="1"/>
  <c r="G180" i="21"/>
  <c r="G179" i="21" s="1"/>
  <c r="F180" i="21"/>
  <c r="F179" i="21" s="1"/>
  <c r="H177" i="21"/>
  <c r="H176" i="21" s="1"/>
  <c r="G177" i="21"/>
  <c r="G176" i="21" s="1"/>
  <c r="F177" i="21"/>
  <c r="F176" i="21" s="1"/>
  <c r="H174" i="21"/>
  <c r="H173" i="21" s="1"/>
  <c r="G174" i="21"/>
  <c r="G173" i="21" s="1"/>
  <c r="F174" i="21"/>
  <c r="F173" i="21"/>
  <c r="F172" i="21"/>
  <c r="H171" i="21"/>
  <c r="H170" i="21" s="1"/>
  <c r="G171" i="21"/>
  <c r="G170" i="21" s="1"/>
  <c r="F171" i="21"/>
  <c r="F170" i="21" s="1"/>
  <c r="F168" i="21"/>
  <c r="H167" i="21"/>
  <c r="H166" i="21" s="1"/>
  <c r="G167" i="21"/>
  <c r="G166" i="21" s="1"/>
  <c r="F167" i="21"/>
  <c r="F166" i="21" s="1"/>
  <c r="H164" i="21"/>
  <c r="G164" i="21"/>
  <c r="F164" i="21"/>
  <c r="H163" i="21"/>
  <c r="G163" i="21"/>
  <c r="G162" i="21" s="1"/>
  <c r="F163" i="21"/>
  <c r="H162" i="21"/>
  <c r="F162" i="21"/>
  <c r="F159" i="21" s="1"/>
  <c r="H161" i="21"/>
  <c r="G161" i="21"/>
  <c r="F161" i="21"/>
  <c r="H160" i="21"/>
  <c r="G160" i="21"/>
  <c r="F160" i="21"/>
  <c r="H157" i="21"/>
  <c r="G157" i="21"/>
  <c r="F157" i="21"/>
  <c r="H156" i="21"/>
  <c r="G156" i="21"/>
  <c r="F156" i="21"/>
  <c r="H155" i="21"/>
  <c r="G155" i="21"/>
  <c r="F155" i="21"/>
  <c r="H154" i="21"/>
  <c r="G154" i="21"/>
  <c r="G153" i="21" s="1"/>
  <c r="F154" i="21"/>
  <c r="H153" i="21"/>
  <c r="F153" i="21"/>
  <c r="H147" i="21"/>
  <c r="H146" i="21" s="1"/>
  <c r="H145" i="21" s="1"/>
  <c r="G147" i="21"/>
  <c r="G146" i="21" s="1"/>
  <c r="G145" i="21" s="1"/>
  <c r="F147" i="21"/>
  <c r="F146" i="21" s="1"/>
  <c r="F145" i="21" s="1"/>
  <c r="H143" i="21"/>
  <c r="H142" i="21" s="1"/>
  <c r="H141" i="21" s="1"/>
  <c r="G143" i="21"/>
  <c r="G142" i="21" s="1"/>
  <c r="G141" i="21" s="1"/>
  <c r="F143" i="21"/>
  <c r="F142" i="21" s="1"/>
  <c r="F141" i="21" s="1"/>
  <c r="H139" i="21"/>
  <c r="H138" i="21" s="1"/>
  <c r="H137" i="21" s="1"/>
  <c r="G139" i="21"/>
  <c r="G138" i="21" s="1"/>
  <c r="G137" i="21" s="1"/>
  <c r="F139" i="21"/>
  <c r="F138" i="21" s="1"/>
  <c r="F137" i="21" s="1"/>
  <c r="H134" i="21"/>
  <c r="H133" i="21" s="1"/>
  <c r="H132" i="21" s="1"/>
  <c r="H131" i="21" s="1"/>
  <c r="G134" i="21"/>
  <c r="G133" i="21" s="1"/>
  <c r="G132" i="21" s="1"/>
  <c r="G131" i="21" s="1"/>
  <c r="F134" i="21"/>
  <c r="F133" i="21" s="1"/>
  <c r="F132" i="21" s="1"/>
  <c r="F131" i="21" s="1"/>
  <c r="H129" i="21"/>
  <c r="H128" i="21" s="1"/>
  <c r="G129" i="21"/>
  <c r="G128" i="21" s="1"/>
  <c r="F129" i="21"/>
  <c r="F128" i="21" s="1"/>
  <c r="H126" i="21"/>
  <c r="H125" i="21" s="1"/>
  <c r="G126" i="21"/>
  <c r="G125" i="21" s="1"/>
  <c r="F126" i="21"/>
  <c r="F125" i="21" s="1"/>
  <c r="H123" i="21"/>
  <c r="H122" i="21" s="1"/>
  <c r="G123" i="21"/>
  <c r="G122" i="21" s="1"/>
  <c r="F123" i="21"/>
  <c r="F122" i="21" s="1"/>
  <c r="H120" i="21"/>
  <c r="H119" i="21" s="1"/>
  <c r="H118" i="21" s="1"/>
  <c r="F120" i="21"/>
  <c r="G119" i="21"/>
  <c r="G118" i="21" s="1"/>
  <c r="F119" i="21"/>
  <c r="F118" i="21" s="1"/>
  <c r="H116" i="21"/>
  <c r="H115" i="21" s="1"/>
  <c r="G116" i="21"/>
  <c r="G115" i="21" s="1"/>
  <c r="F116" i="21"/>
  <c r="F115" i="21" s="1"/>
  <c r="H113" i="21"/>
  <c r="H112" i="21" s="1"/>
  <c r="G113" i="21"/>
  <c r="G112" i="21" s="1"/>
  <c r="F113" i="21"/>
  <c r="F112" i="21" s="1"/>
  <c r="G111" i="21"/>
  <c r="G110" i="21" s="1"/>
  <c r="G109" i="21" s="1"/>
  <c r="F111" i="21"/>
  <c r="H110" i="21"/>
  <c r="H109" i="21" s="1"/>
  <c r="F110" i="21"/>
  <c r="F109" i="21" s="1"/>
  <c r="G108" i="21"/>
  <c r="G107" i="21" s="1"/>
  <c r="G106" i="21" s="1"/>
  <c r="F108" i="21"/>
  <c r="H107" i="21"/>
  <c r="H106" i="21" s="1"/>
  <c r="F107" i="21"/>
  <c r="F106" i="21" s="1"/>
  <c r="H104" i="21"/>
  <c r="H103" i="21" s="1"/>
  <c r="G104" i="21"/>
  <c r="G103" i="21" s="1"/>
  <c r="F104" i="21"/>
  <c r="F103" i="21" s="1"/>
  <c r="H101" i="21"/>
  <c r="H100" i="21" s="1"/>
  <c r="G101" i="21"/>
  <c r="G100" i="21" s="1"/>
  <c r="F101" i="21"/>
  <c r="F100" i="21" s="1"/>
  <c r="F96" i="21"/>
  <c r="F95" i="21" s="1"/>
  <c r="F94" i="21" s="1"/>
  <c r="F93" i="21" s="1"/>
  <c r="F92" i="21" s="1"/>
  <c r="F91" i="21" s="1"/>
  <c r="H95" i="21"/>
  <c r="H94" i="21" s="1"/>
  <c r="H93" i="21" s="1"/>
  <c r="H92" i="21" s="1"/>
  <c r="H91" i="21" s="1"/>
  <c r="G95" i="21"/>
  <c r="G94" i="21" s="1"/>
  <c r="G93" i="21" s="1"/>
  <c r="G92" i="21" s="1"/>
  <c r="G91" i="21" s="1"/>
  <c r="H89" i="21"/>
  <c r="H88" i="21" s="1"/>
  <c r="G89" i="21"/>
  <c r="G88" i="21" s="1"/>
  <c r="F89" i="21"/>
  <c r="F88" i="21" s="1"/>
  <c r="H86" i="21"/>
  <c r="G86" i="21"/>
  <c r="F86" i="21"/>
  <c r="H84" i="21"/>
  <c r="G84" i="21"/>
  <c r="F84" i="21"/>
  <c r="F82" i="21"/>
  <c r="F81" i="21" s="1"/>
  <c r="F80" i="21" s="1"/>
  <c r="H81" i="21"/>
  <c r="H80" i="21" s="1"/>
  <c r="G81" i="21"/>
  <c r="G80" i="21" s="1"/>
  <c r="H75" i="21"/>
  <c r="G75" i="21"/>
  <c r="F75" i="21"/>
  <c r="H73" i="21"/>
  <c r="G73" i="21"/>
  <c r="F73" i="21"/>
  <c r="F72" i="21"/>
  <c r="F71" i="21"/>
  <c r="H70" i="21"/>
  <c r="H69" i="21" s="1"/>
  <c r="G70" i="21"/>
  <c r="G69" i="21" s="1"/>
  <c r="F70" i="21"/>
  <c r="F69" i="21" s="1"/>
  <c r="F68" i="21" s="1"/>
  <c r="F67" i="21" s="1"/>
  <c r="H64" i="21"/>
  <c r="H63" i="21" s="1"/>
  <c r="H62" i="21" s="1"/>
  <c r="H61" i="21" s="1"/>
  <c r="H60" i="21" s="1"/>
  <c r="G64" i="21"/>
  <c r="G63" i="21" s="1"/>
  <c r="G62" i="21" s="1"/>
  <c r="G61" i="21" s="1"/>
  <c r="G60" i="21" s="1"/>
  <c r="F64" i="21"/>
  <c r="F63" i="21" s="1"/>
  <c r="F62" i="21" s="1"/>
  <c r="F61" i="21" s="1"/>
  <c r="F60" i="21" s="1"/>
  <c r="F59" i="21"/>
  <c r="F58" i="21" s="1"/>
  <c r="F57" i="21" s="1"/>
  <c r="G58" i="21"/>
  <c r="G57" i="21" s="1"/>
  <c r="F56" i="21"/>
  <c r="H55" i="21"/>
  <c r="G55" i="21"/>
  <c r="F55" i="21"/>
  <c r="H54" i="21"/>
  <c r="G54" i="21"/>
  <c r="G53" i="21" s="1"/>
  <c r="F54" i="21"/>
  <c r="H53" i="21"/>
  <c r="F53" i="21"/>
  <c r="H51" i="21"/>
  <c r="H50" i="21" s="1"/>
  <c r="H49" i="21" s="1"/>
  <c r="G51" i="21"/>
  <c r="F51" i="21"/>
  <c r="F50" i="21" s="1"/>
  <c r="F49" i="21" s="1"/>
  <c r="G50" i="21"/>
  <c r="G49" i="21" s="1"/>
  <c r="H45" i="21"/>
  <c r="H44" i="21" s="1"/>
  <c r="H43" i="21" s="1"/>
  <c r="H42" i="21" s="1"/>
  <c r="H41" i="21" s="1"/>
  <c r="G45" i="21"/>
  <c r="G44" i="21" s="1"/>
  <c r="G43" i="21" s="1"/>
  <c r="G42" i="21" s="1"/>
  <c r="G41" i="21" s="1"/>
  <c r="F45" i="21"/>
  <c r="F44" i="21" s="1"/>
  <c r="F43" i="21" s="1"/>
  <c r="F42" i="21" s="1"/>
  <c r="F41" i="21" s="1"/>
  <c r="H38" i="21"/>
  <c r="G38" i="21"/>
  <c r="F38" i="21"/>
  <c r="H36" i="21"/>
  <c r="G36" i="21"/>
  <c r="F36" i="21"/>
  <c r="F34" i="21"/>
  <c r="F33" i="21" s="1"/>
  <c r="F32" i="21" s="1"/>
  <c r="H33" i="21"/>
  <c r="H32" i="21" s="1"/>
  <c r="G33" i="21"/>
  <c r="G32" i="21" s="1"/>
  <c r="F28" i="21"/>
  <c r="F27" i="21" s="1"/>
  <c r="F26" i="21" s="1"/>
  <c r="F25" i="21" s="1"/>
  <c r="F24" i="21" s="1"/>
  <c r="F23" i="21" s="1"/>
  <c r="F22" i="21" s="1"/>
  <c r="H27" i="21"/>
  <c r="H26" i="21" s="1"/>
  <c r="H25" i="21" s="1"/>
  <c r="H24" i="21" s="1"/>
  <c r="H23" i="21" s="1"/>
  <c r="H22" i="21" s="1"/>
  <c r="G27" i="21"/>
  <c r="G26" i="21" s="1"/>
  <c r="G25" i="21" s="1"/>
  <c r="G24" i="21" s="1"/>
  <c r="G23" i="21" s="1"/>
  <c r="G22" i="21" s="1"/>
  <c r="I1139" i="20"/>
  <c r="H1139" i="20"/>
  <c r="G1139" i="20"/>
  <c r="I1137" i="20"/>
  <c r="H1137" i="20"/>
  <c r="G1137" i="20"/>
  <c r="G1135" i="20"/>
  <c r="G1134" i="20" s="1"/>
  <c r="G1133" i="20" s="1"/>
  <c r="I1134" i="20"/>
  <c r="I1133" i="20" s="1"/>
  <c r="H1134" i="20"/>
  <c r="H1133" i="20" s="1"/>
  <c r="I1126" i="20"/>
  <c r="I1125" i="20" s="1"/>
  <c r="H1126" i="20"/>
  <c r="H1125" i="20" s="1"/>
  <c r="G1126" i="20"/>
  <c r="G1125" i="20" s="1"/>
  <c r="I1124" i="20"/>
  <c r="I1123" i="20" s="1"/>
  <c r="I1122" i="20" s="1"/>
  <c r="H1124" i="20"/>
  <c r="G1124" i="20"/>
  <c r="G1123" i="20" s="1"/>
  <c r="G1122" i="20" s="1"/>
  <c r="H1123" i="20"/>
  <c r="H1122" i="20" s="1"/>
  <c r="I1117" i="20"/>
  <c r="H1117" i="20"/>
  <c r="G1117" i="20"/>
  <c r="I1115" i="20"/>
  <c r="H1115" i="20"/>
  <c r="G1115" i="20"/>
  <c r="G1113" i="20"/>
  <c r="G1112" i="20" s="1"/>
  <c r="G1111" i="20" s="1"/>
  <c r="I1112" i="20"/>
  <c r="I1111" i="20" s="1"/>
  <c r="H1112" i="20"/>
  <c r="H1111" i="20" s="1"/>
  <c r="G1107" i="20"/>
  <c r="G1106" i="20" s="1"/>
  <c r="G1105" i="20" s="1"/>
  <c r="G1104" i="20" s="1"/>
  <c r="G1103" i="20" s="1"/>
  <c r="G1102" i="20" s="1"/>
  <c r="G1101" i="20" s="1"/>
  <c r="I1106" i="20"/>
  <c r="I1105" i="20" s="1"/>
  <c r="I1104" i="20" s="1"/>
  <c r="I1103" i="20" s="1"/>
  <c r="I1102" i="20" s="1"/>
  <c r="I1101" i="20" s="1"/>
  <c r="H1106" i="20"/>
  <c r="H1105" i="20"/>
  <c r="H1104" i="20" s="1"/>
  <c r="G1097" i="20"/>
  <c r="G1096" i="20" s="1"/>
  <c r="G1094" i="20"/>
  <c r="G1093" i="20"/>
  <c r="G1092" i="20" s="1"/>
  <c r="G1090" i="20"/>
  <c r="G1089" i="20" s="1"/>
  <c r="G1088" i="20" s="1"/>
  <c r="I1081" i="20"/>
  <c r="I1080" i="20" s="1"/>
  <c r="I1079" i="20" s="1"/>
  <c r="I1078" i="20" s="1"/>
  <c r="I1077" i="20" s="1"/>
  <c r="H1081" i="20"/>
  <c r="H1080" i="20" s="1"/>
  <c r="H1079" i="20" s="1"/>
  <c r="H1078" i="20" s="1"/>
  <c r="H1077" i="20" s="1"/>
  <c r="G1081" i="20"/>
  <c r="G1080" i="20" s="1"/>
  <c r="G1079" i="20" s="1"/>
  <c r="G1078" i="20" s="1"/>
  <c r="G1077" i="20" s="1"/>
  <c r="I1075" i="20"/>
  <c r="I1074" i="20" s="1"/>
  <c r="H1075" i="20"/>
  <c r="H1074" i="20" s="1"/>
  <c r="G1075" i="20"/>
  <c r="G1074" i="20" s="1"/>
  <c r="G1073" i="20"/>
  <c r="G1072" i="20"/>
  <c r="I1071" i="20"/>
  <c r="I1070" i="20" s="1"/>
  <c r="I1069" i="20" s="1"/>
  <c r="I1068" i="20" s="1"/>
  <c r="I1067" i="20" s="1"/>
  <c r="H1071" i="20"/>
  <c r="H1070" i="20" s="1"/>
  <c r="I1064" i="20"/>
  <c r="I1063" i="20" s="1"/>
  <c r="I1062" i="20" s="1"/>
  <c r="I1061" i="20" s="1"/>
  <c r="H1064" i="20"/>
  <c r="H1063" i="20" s="1"/>
  <c r="H1062" i="20" s="1"/>
  <c r="H1061" i="20" s="1"/>
  <c r="G1064" i="20"/>
  <c r="G1063" i="20" s="1"/>
  <c r="G1062" i="20" s="1"/>
  <c r="G1061" i="20" s="1"/>
  <c r="I1059" i="20"/>
  <c r="H1059" i="20"/>
  <c r="G1059" i="20"/>
  <c r="G1058" i="20"/>
  <c r="G1057" i="20" s="1"/>
  <c r="I1057" i="20"/>
  <c r="I1056" i="20" s="1"/>
  <c r="H1057" i="20"/>
  <c r="H1056" i="20" s="1"/>
  <c r="G1055" i="20"/>
  <c r="I1054" i="20"/>
  <c r="I1053" i="20" s="1"/>
  <c r="H1054" i="20"/>
  <c r="H1053" i="20" s="1"/>
  <c r="G1054" i="20"/>
  <c r="G1053" i="20" s="1"/>
  <c r="G1049" i="20"/>
  <c r="G1048" i="20" s="1"/>
  <c r="I1048" i="20"/>
  <c r="H1048" i="20"/>
  <c r="G1047" i="20"/>
  <c r="G1046" i="20" s="1"/>
  <c r="I1046" i="20"/>
  <c r="H1046" i="20"/>
  <c r="I1044" i="20"/>
  <c r="H1044" i="20"/>
  <c r="G1044" i="20"/>
  <c r="G1042" i="20"/>
  <c r="G1041" i="20" s="1"/>
  <c r="I1041" i="20"/>
  <c r="H1041" i="20"/>
  <c r="I1039" i="20"/>
  <c r="H1039" i="20"/>
  <c r="G1039" i="20"/>
  <c r="I1036" i="20"/>
  <c r="H1036" i="20"/>
  <c r="G1036" i="20"/>
  <c r="I1034" i="20"/>
  <c r="H1034" i="20"/>
  <c r="G1034" i="20"/>
  <c r="I1033" i="20"/>
  <c r="I1032" i="20" s="1"/>
  <c r="H1033" i="20"/>
  <c r="H1032" i="20" s="1"/>
  <c r="G1033" i="20"/>
  <c r="G1032" i="20" s="1"/>
  <c r="G1028" i="20"/>
  <c r="G1027" i="20"/>
  <c r="G1026" i="20" s="1"/>
  <c r="G1025" i="20" s="1"/>
  <c r="I1026" i="20"/>
  <c r="I1025" i="20" s="1"/>
  <c r="H1026" i="20"/>
  <c r="H1025" i="20" s="1"/>
  <c r="G1024" i="20"/>
  <c r="G1023" i="20"/>
  <c r="I1022" i="20"/>
  <c r="I1021" i="20" s="1"/>
  <c r="H1022" i="20"/>
  <c r="H1021" i="20" s="1"/>
  <c r="I1016" i="20"/>
  <c r="I1015" i="20" s="1"/>
  <c r="I1014" i="20" s="1"/>
  <c r="I1013" i="20" s="1"/>
  <c r="I1012" i="20" s="1"/>
  <c r="H1016" i="20"/>
  <c r="H1015" i="20" s="1"/>
  <c r="H1014" i="20" s="1"/>
  <c r="H1013" i="20" s="1"/>
  <c r="H1012" i="20" s="1"/>
  <c r="G1016" i="20"/>
  <c r="G1015" i="20" s="1"/>
  <c r="G1014" i="20" s="1"/>
  <c r="G1013" i="20" s="1"/>
  <c r="G1012" i="20" s="1"/>
  <c r="G1011" i="20"/>
  <c r="G1010" i="20" s="1"/>
  <c r="G1009" i="20" s="1"/>
  <c r="G1008" i="20" s="1"/>
  <c r="G1007" i="20" s="1"/>
  <c r="G1006" i="20" s="1"/>
  <c r="I1010" i="20"/>
  <c r="I1009" i="20" s="1"/>
  <c r="I1008" i="20" s="1"/>
  <c r="I1007" i="20" s="1"/>
  <c r="I1006" i="20" s="1"/>
  <c r="H1010" i="20"/>
  <c r="H1009" i="20" s="1"/>
  <c r="H1008" i="20" s="1"/>
  <c r="H1007" i="20" s="1"/>
  <c r="H1006" i="20" s="1"/>
  <c r="I1003" i="20"/>
  <c r="I1002" i="20" s="1"/>
  <c r="I1001" i="20" s="1"/>
  <c r="H1003" i="20"/>
  <c r="H1002" i="20" s="1"/>
  <c r="H1001" i="20" s="1"/>
  <c r="G1003" i="20"/>
  <c r="G1002" i="20" s="1"/>
  <c r="G1001" i="20" s="1"/>
  <c r="I999" i="20"/>
  <c r="I998" i="20" s="1"/>
  <c r="I997" i="20" s="1"/>
  <c r="H999" i="20"/>
  <c r="H998" i="20" s="1"/>
  <c r="H997" i="20" s="1"/>
  <c r="G998" i="20"/>
  <c r="G997" i="20" s="1"/>
  <c r="G996" i="20"/>
  <c r="I995" i="20"/>
  <c r="I994" i="20" s="1"/>
  <c r="I993" i="20" s="1"/>
  <c r="H995" i="20"/>
  <c r="H994" i="20" s="1"/>
  <c r="H993" i="20" s="1"/>
  <c r="G995" i="20"/>
  <c r="G992" i="20"/>
  <c r="I990" i="20"/>
  <c r="I989" i="20" s="1"/>
  <c r="H990" i="20"/>
  <c r="H989" i="20" s="1"/>
  <c r="G990" i="20"/>
  <c r="G989" i="20" s="1"/>
  <c r="G987" i="20"/>
  <c r="G986" i="20" s="1"/>
  <c r="G985" i="20" s="1"/>
  <c r="I986" i="20"/>
  <c r="I985" i="20" s="1"/>
  <c r="H986" i="20"/>
  <c r="H985" i="20" s="1"/>
  <c r="G984" i="20"/>
  <c r="G983" i="20"/>
  <c r="I982" i="20"/>
  <c r="I981" i="20" s="1"/>
  <c r="H982" i="20"/>
  <c r="H981" i="20" s="1"/>
  <c r="I978" i="20"/>
  <c r="I977" i="20" s="1"/>
  <c r="H978" i="20"/>
  <c r="H977" i="20" s="1"/>
  <c r="G978" i="20"/>
  <c r="G977" i="20" s="1"/>
  <c r="G976" i="20"/>
  <c r="G975" i="20"/>
  <c r="I974" i="20"/>
  <c r="I973" i="20" s="1"/>
  <c r="H974" i="20"/>
  <c r="H973" i="20" s="1"/>
  <c r="G971" i="20"/>
  <c r="I970" i="20"/>
  <c r="I969" i="20" s="1"/>
  <c r="H970" i="20"/>
  <c r="H969" i="20" s="1"/>
  <c r="G970" i="20"/>
  <c r="G969" i="20" s="1"/>
  <c r="G965" i="20"/>
  <c r="G964" i="20"/>
  <c r="I963" i="20"/>
  <c r="I962" i="20" s="1"/>
  <c r="H963" i="20"/>
  <c r="H962" i="20" s="1"/>
  <c r="G961" i="20"/>
  <c r="G960" i="20"/>
  <c r="I959" i="20"/>
  <c r="I958" i="20" s="1"/>
  <c r="H959" i="20"/>
  <c r="H958" i="20" s="1"/>
  <c r="H957" i="20" s="1"/>
  <c r="H956" i="20" s="1"/>
  <c r="H955" i="20" s="1"/>
  <c r="G952" i="20"/>
  <c r="G951" i="20" s="1"/>
  <c r="G950" i="20" s="1"/>
  <c r="G949" i="20" s="1"/>
  <c r="G948" i="20" s="1"/>
  <c r="G947" i="20" s="1"/>
  <c r="G946" i="20" s="1"/>
  <c r="I951" i="20"/>
  <c r="I950" i="20" s="1"/>
  <c r="I949" i="20" s="1"/>
  <c r="I948" i="20" s="1"/>
  <c r="I947" i="20" s="1"/>
  <c r="I946" i="20" s="1"/>
  <c r="H951" i="20"/>
  <c r="H950" i="20" s="1"/>
  <c r="H949" i="20" s="1"/>
  <c r="H948" i="20" s="1"/>
  <c r="H947" i="20" s="1"/>
  <c r="H946" i="20" s="1"/>
  <c r="G945" i="20"/>
  <c r="G944" i="20" s="1"/>
  <c r="G943" i="20" s="1"/>
  <c r="G942" i="20" s="1"/>
  <c r="G941" i="20" s="1"/>
  <c r="G940" i="20" s="1"/>
  <c r="I944" i="20"/>
  <c r="I943" i="20" s="1"/>
  <c r="I942" i="20" s="1"/>
  <c r="I941" i="20" s="1"/>
  <c r="I940" i="20" s="1"/>
  <c r="H944" i="20"/>
  <c r="H943" i="20" s="1"/>
  <c r="H942" i="20" s="1"/>
  <c r="H941" i="20" s="1"/>
  <c r="H940" i="20" s="1"/>
  <c r="H938" i="20"/>
  <c r="H937" i="20" s="1"/>
  <c r="G938" i="20"/>
  <c r="G937" i="20" s="1"/>
  <c r="I935" i="20"/>
  <c r="H935" i="20"/>
  <c r="G935" i="20"/>
  <c r="G934" i="20"/>
  <c r="G933" i="20" s="1"/>
  <c r="I933" i="20"/>
  <c r="I932" i="20" s="1"/>
  <c r="H933" i="20"/>
  <c r="G931" i="20"/>
  <c r="G930" i="20" s="1"/>
  <c r="G929" i="20" s="1"/>
  <c r="I930" i="20"/>
  <c r="I929" i="20" s="1"/>
  <c r="H930" i="20"/>
  <c r="H929" i="20" s="1"/>
  <c r="I923" i="20"/>
  <c r="I922" i="20" s="1"/>
  <c r="I921" i="20" s="1"/>
  <c r="I920" i="20" s="1"/>
  <c r="I919" i="20" s="1"/>
  <c r="I918" i="20" s="1"/>
  <c r="H923" i="20"/>
  <c r="H922" i="20" s="1"/>
  <c r="H921" i="20" s="1"/>
  <c r="H920" i="20" s="1"/>
  <c r="H919" i="20" s="1"/>
  <c r="H918" i="20" s="1"/>
  <c r="G923" i="20"/>
  <c r="G922" i="20" s="1"/>
  <c r="G921" i="20" s="1"/>
  <c r="G920" i="20" s="1"/>
  <c r="G919" i="20" s="1"/>
  <c r="G918" i="20" s="1"/>
  <c r="G917" i="20"/>
  <c r="G916" i="20" s="1"/>
  <c r="G915" i="20" s="1"/>
  <c r="G914" i="20" s="1"/>
  <c r="G913" i="20" s="1"/>
  <c r="G912" i="20" s="1"/>
  <c r="I916" i="20"/>
  <c r="I915" i="20" s="1"/>
  <c r="I914" i="20" s="1"/>
  <c r="I913" i="20" s="1"/>
  <c r="I912" i="20" s="1"/>
  <c r="H916" i="20"/>
  <c r="H915" i="20" s="1"/>
  <c r="H914" i="20" s="1"/>
  <c r="H913" i="20" s="1"/>
  <c r="H912" i="20" s="1"/>
  <c r="I910" i="20"/>
  <c r="I909" i="20" s="1"/>
  <c r="H910" i="20"/>
  <c r="H909" i="20" s="1"/>
  <c r="G910" i="20"/>
  <c r="G909" i="20" s="1"/>
  <c r="I907" i="20"/>
  <c r="H907" i="20"/>
  <c r="G907" i="20"/>
  <c r="G905" i="20"/>
  <c r="I905" i="20"/>
  <c r="I904" i="20" s="1"/>
  <c r="H905" i="20"/>
  <c r="H904" i="20" s="1"/>
  <c r="G903" i="20"/>
  <c r="G902" i="20" s="1"/>
  <c r="G901" i="20" s="1"/>
  <c r="I902" i="20"/>
  <c r="I901" i="20" s="1"/>
  <c r="H902" i="20"/>
  <c r="H901" i="20" s="1"/>
  <c r="H894" i="20"/>
  <c r="H893" i="20" s="1"/>
  <c r="H892" i="20" s="1"/>
  <c r="H891" i="20" s="1"/>
  <c r="G894" i="20"/>
  <c r="G893" i="20" s="1"/>
  <c r="G892" i="20" s="1"/>
  <c r="G891" i="20" s="1"/>
  <c r="G890" i="20"/>
  <c r="G889" i="20" s="1"/>
  <c r="I889" i="20"/>
  <c r="H889" i="20"/>
  <c r="G888" i="20"/>
  <c r="G887" i="20" s="1"/>
  <c r="I887" i="20"/>
  <c r="H887" i="20"/>
  <c r="G886" i="20"/>
  <c r="G885" i="20" s="1"/>
  <c r="I885" i="20"/>
  <c r="H885" i="20"/>
  <c r="I881" i="20"/>
  <c r="H881" i="20"/>
  <c r="G881" i="20"/>
  <c r="I879" i="20"/>
  <c r="H879" i="20"/>
  <c r="G879" i="20"/>
  <c r="G877" i="20"/>
  <c r="G876" i="20" s="1"/>
  <c r="G875" i="20" s="1"/>
  <c r="I876" i="20"/>
  <c r="I875" i="20" s="1"/>
  <c r="H876" i="20"/>
  <c r="H875" i="20" s="1"/>
  <c r="H870" i="20"/>
  <c r="H869" i="20" s="1"/>
  <c r="H868" i="20" s="1"/>
  <c r="I869" i="20"/>
  <c r="I868" i="20" s="1"/>
  <c r="G869" i="20"/>
  <c r="G868" i="20" s="1"/>
  <c r="I866" i="20"/>
  <c r="I865" i="20" s="1"/>
  <c r="H866" i="20"/>
  <c r="H865" i="20" s="1"/>
  <c r="H864" i="20" s="1"/>
  <c r="H863" i="20" s="1"/>
  <c r="H862" i="20" s="1"/>
  <c r="G866" i="20"/>
  <c r="G865" i="20" s="1"/>
  <c r="I860" i="20"/>
  <c r="I859" i="20" s="1"/>
  <c r="I858" i="20" s="1"/>
  <c r="H860" i="20"/>
  <c r="H859" i="20" s="1"/>
  <c r="H858" i="20" s="1"/>
  <c r="G860" i="20"/>
  <c r="G859" i="20" s="1"/>
  <c r="G858" i="20" s="1"/>
  <c r="I856" i="20"/>
  <c r="I855" i="20" s="1"/>
  <c r="I854" i="20" s="1"/>
  <c r="H856" i="20"/>
  <c r="H855" i="20" s="1"/>
  <c r="H854" i="20" s="1"/>
  <c r="G856" i="20"/>
  <c r="G855" i="20" s="1"/>
  <c r="G854" i="20" s="1"/>
  <c r="I852" i="20"/>
  <c r="I851" i="20" s="1"/>
  <c r="H852" i="20"/>
  <c r="H851" i="20" s="1"/>
  <c r="G852" i="20"/>
  <c r="G851" i="20" s="1"/>
  <c r="H850" i="20"/>
  <c r="H849" i="20" s="1"/>
  <c r="G850" i="20"/>
  <c r="G849" i="20" s="1"/>
  <c r="I849" i="20"/>
  <c r="H848" i="20"/>
  <c r="H847" i="20" s="1"/>
  <c r="G848" i="20"/>
  <c r="I847" i="20"/>
  <c r="G847" i="20"/>
  <c r="I843" i="20"/>
  <c r="I842" i="20" s="1"/>
  <c r="H843" i="20"/>
  <c r="H842" i="20" s="1"/>
  <c r="G843" i="20"/>
  <c r="G842" i="20" s="1"/>
  <c r="I840" i="20"/>
  <c r="I839" i="20" s="1"/>
  <c r="H840" i="20"/>
  <c r="H839" i="20" s="1"/>
  <c r="G840" i="20"/>
  <c r="G839" i="20" s="1"/>
  <c r="H838" i="20"/>
  <c r="H837" i="20" s="1"/>
  <c r="I837" i="20"/>
  <c r="G837" i="20"/>
  <c r="H836" i="20"/>
  <c r="H835" i="20" s="1"/>
  <c r="I835" i="20"/>
  <c r="G835" i="20"/>
  <c r="G830" i="20"/>
  <c r="G829" i="20" s="1"/>
  <c r="G828" i="20" s="1"/>
  <c r="I829" i="20"/>
  <c r="I828" i="20" s="1"/>
  <c r="H829" i="20"/>
  <c r="H828" i="20" s="1"/>
  <c r="G827" i="20"/>
  <c r="G826" i="20" s="1"/>
  <c r="G825" i="20" s="1"/>
  <c r="I826" i="20"/>
  <c r="I825" i="20" s="1"/>
  <c r="H826" i="20"/>
  <c r="H825" i="20" s="1"/>
  <c r="I822" i="20"/>
  <c r="I821" i="20" s="1"/>
  <c r="H822" i="20"/>
  <c r="H821" i="20" s="1"/>
  <c r="G822" i="20"/>
  <c r="G821" i="20" s="1"/>
  <c r="G820" i="20"/>
  <c r="G819" i="20" s="1"/>
  <c r="G818" i="20" s="1"/>
  <c r="I819" i="20"/>
  <c r="I818" i="20" s="1"/>
  <c r="H819" i="20"/>
  <c r="H818" i="20" s="1"/>
  <c r="G817" i="20"/>
  <c r="G816" i="20" s="1"/>
  <c r="G815" i="20" s="1"/>
  <c r="I816" i="20"/>
  <c r="I815" i="20" s="1"/>
  <c r="H816" i="20"/>
  <c r="H815" i="20" s="1"/>
  <c r="G814" i="20"/>
  <c r="I813" i="20"/>
  <c r="I812" i="20" s="1"/>
  <c r="H813" i="20"/>
  <c r="H812" i="20" s="1"/>
  <c r="G813" i="20"/>
  <c r="G812" i="20" s="1"/>
  <c r="G811" i="20"/>
  <c r="G810" i="20" s="1"/>
  <c r="G809" i="20" s="1"/>
  <c r="I810" i="20"/>
  <c r="I809" i="20" s="1"/>
  <c r="H810" i="20"/>
  <c r="H809" i="20" s="1"/>
  <c r="H807" i="20"/>
  <c r="H806" i="20" s="1"/>
  <c r="H805" i="20" s="1"/>
  <c r="G807" i="20"/>
  <c r="G806" i="20" s="1"/>
  <c r="G805" i="20" s="1"/>
  <c r="I806" i="20"/>
  <c r="I805" i="20" s="1"/>
  <c r="G804" i="20"/>
  <c r="G803" i="20" s="1"/>
  <c r="G802" i="20" s="1"/>
  <c r="I803" i="20"/>
  <c r="I802" i="20" s="1"/>
  <c r="H803" i="20"/>
  <c r="H802" i="20" s="1"/>
  <c r="I799" i="20"/>
  <c r="I798" i="20" s="1"/>
  <c r="I797" i="20" s="1"/>
  <c r="H799" i="20"/>
  <c r="H798" i="20" s="1"/>
  <c r="H797" i="20" s="1"/>
  <c r="G799" i="20"/>
  <c r="G798" i="20" s="1"/>
  <c r="G797" i="20" s="1"/>
  <c r="I792" i="20"/>
  <c r="I791" i="20" s="1"/>
  <c r="I790" i="20" s="1"/>
  <c r="I789" i="20" s="1"/>
  <c r="I788" i="20" s="1"/>
  <c r="H792" i="20"/>
  <c r="H791" i="20" s="1"/>
  <c r="H790" i="20" s="1"/>
  <c r="H789" i="20" s="1"/>
  <c r="H788" i="20" s="1"/>
  <c r="G792" i="20"/>
  <c r="G791" i="20" s="1"/>
  <c r="G790" i="20" s="1"/>
  <c r="G789" i="20" s="1"/>
  <c r="G788" i="20" s="1"/>
  <c r="I786" i="20"/>
  <c r="H786" i="20"/>
  <c r="G786" i="20"/>
  <c r="G785" i="20"/>
  <c r="G784" i="20" s="1"/>
  <c r="I784" i="20"/>
  <c r="H784" i="20"/>
  <c r="I782" i="20"/>
  <c r="H782" i="20"/>
  <c r="G782" i="20"/>
  <c r="I775" i="20"/>
  <c r="I774" i="20" s="1"/>
  <c r="I773" i="20" s="1"/>
  <c r="I772" i="20" s="1"/>
  <c r="I771" i="20" s="1"/>
  <c r="I770" i="20" s="1"/>
  <c r="H775" i="20"/>
  <c r="H774" i="20" s="1"/>
  <c r="H773" i="20" s="1"/>
  <c r="H772" i="20" s="1"/>
  <c r="H771" i="20" s="1"/>
  <c r="H770" i="20" s="1"/>
  <c r="G775" i="20"/>
  <c r="G774" i="20" s="1"/>
  <c r="G773" i="20" s="1"/>
  <c r="G772" i="20" s="1"/>
  <c r="G771" i="20" s="1"/>
  <c r="G770" i="20" s="1"/>
  <c r="H768" i="20"/>
  <c r="G768" i="20"/>
  <c r="G767" i="20" s="1"/>
  <c r="G766" i="20" s="1"/>
  <c r="G765" i="20" s="1"/>
  <c r="G764" i="20" s="1"/>
  <c r="G763" i="20" s="1"/>
  <c r="G762" i="20" s="1"/>
  <c r="I767" i="20"/>
  <c r="I766" i="20" s="1"/>
  <c r="I765" i="20" s="1"/>
  <c r="I764" i="20" s="1"/>
  <c r="I763" i="20" s="1"/>
  <c r="I762" i="20" s="1"/>
  <c r="H767" i="20"/>
  <c r="H766" i="20" s="1"/>
  <c r="H765" i="20" s="1"/>
  <c r="H764" i="20" s="1"/>
  <c r="H763" i="20" s="1"/>
  <c r="H762" i="20" s="1"/>
  <c r="I760" i="20"/>
  <c r="I759" i="20" s="1"/>
  <c r="I758" i="20" s="1"/>
  <c r="I757" i="20" s="1"/>
  <c r="I756" i="20" s="1"/>
  <c r="I755" i="20" s="1"/>
  <c r="H760" i="20"/>
  <c r="H759" i="20" s="1"/>
  <c r="H758" i="20" s="1"/>
  <c r="H757" i="20" s="1"/>
  <c r="H756" i="20" s="1"/>
  <c r="H755" i="20" s="1"/>
  <c r="G760" i="20"/>
  <c r="G759" i="20" s="1"/>
  <c r="G758" i="20" s="1"/>
  <c r="G757" i="20" s="1"/>
  <c r="G756" i="20" s="1"/>
  <c r="G755" i="20" s="1"/>
  <c r="I753" i="20"/>
  <c r="I752" i="20" s="1"/>
  <c r="H753" i="20"/>
  <c r="H752" i="20" s="1"/>
  <c r="G753" i="20"/>
  <c r="G752" i="20" s="1"/>
  <c r="I750" i="20"/>
  <c r="I749" i="20" s="1"/>
  <c r="H750" i="20"/>
  <c r="H749" i="20" s="1"/>
  <c r="G750" i="20"/>
  <c r="G749" i="20" s="1"/>
  <c r="H744" i="20"/>
  <c r="H743" i="20" s="1"/>
  <c r="G744" i="20"/>
  <c r="G743" i="20" s="1"/>
  <c r="G742" i="20"/>
  <c r="G741" i="20" s="1"/>
  <c r="I741" i="20"/>
  <c r="H741" i="20"/>
  <c r="G740" i="20"/>
  <c r="G739" i="20" s="1"/>
  <c r="I739" i="20"/>
  <c r="H739" i="20"/>
  <c r="G737" i="20"/>
  <c r="G736" i="20" s="1"/>
  <c r="G735" i="20" s="1"/>
  <c r="I736" i="20"/>
  <c r="I735" i="20" s="1"/>
  <c r="H736" i="20"/>
  <c r="H735" i="20" s="1"/>
  <c r="H729" i="20"/>
  <c r="H728" i="20" s="1"/>
  <c r="H727" i="20" s="1"/>
  <c r="H726" i="20" s="1"/>
  <c r="H725" i="20" s="1"/>
  <c r="H724" i="20" s="1"/>
  <c r="H723" i="20" s="1"/>
  <c r="G729" i="20"/>
  <c r="G728" i="20" s="1"/>
  <c r="G727" i="20" s="1"/>
  <c r="G726" i="20" s="1"/>
  <c r="G725" i="20" s="1"/>
  <c r="G724" i="20" s="1"/>
  <c r="G723" i="20" s="1"/>
  <c r="I728" i="20"/>
  <c r="I727" i="20" s="1"/>
  <c r="I726" i="20" s="1"/>
  <c r="I725" i="20" s="1"/>
  <c r="I724" i="20" s="1"/>
  <c r="I723" i="20" s="1"/>
  <c r="I721" i="20"/>
  <c r="I720" i="20" s="1"/>
  <c r="I719" i="20" s="1"/>
  <c r="I718" i="20" s="1"/>
  <c r="I717" i="20" s="1"/>
  <c r="I716" i="20" s="1"/>
  <c r="H721" i="20"/>
  <c r="H720" i="20" s="1"/>
  <c r="H719" i="20" s="1"/>
  <c r="H718" i="20" s="1"/>
  <c r="H717" i="20" s="1"/>
  <c r="H716" i="20" s="1"/>
  <c r="G721" i="20"/>
  <c r="G720" i="20" s="1"/>
  <c r="G719" i="20" s="1"/>
  <c r="G718" i="20" s="1"/>
  <c r="G717" i="20" s="1"/>
  <c r="G716" i="20" s="1"/>
  <c r="I714" i="20"/>
  <c r="I713" i="20" s="1"/>
  <c r="I712" i="20" s="1"/>
  <c r="I711" i="20" s="1"/>
  <c r="I710" i="20" s="1"/>
  <c r="H714" i="20"/>
  <c r="H713" i="20" s="1"/>
  <c r="H712" i="20" s="1"/>
  <c r="H711" i="20" s="1"/>
  <c r="H710" i="20" s="1"/>
  <c r="G714" i="20"/>
  <c r="G713" i="20" s="1"/>
  <c r="G712" i="20" s="1"/>
  <c r="G711" i="20" s="1"/>
  <c r="G710" i="20" s="1"/>
  <c r="H708" i="20"/>
  <c r="H707" i="20" s="1"/>
  <c r="G708" i="20"/>
  <c r="G707" i="20" s="1"/>
  <c r="I705" i="20"/>
  <c r="H705" i="20"/>
  <c r="G705" i="20"/>
  <c r="I703" i="20"/>
  <c r="H703" i="20"/>
  <c r="G703" i="20"/>
  <c r="I701" i="20"/>
  <c r="I700" i="20" s="1"/>
  <c r="I699" i="20" s="1"/>
  <c r="H701" i="20"/>
  <c r="H700" i="20" s="1"/>
  <c r="H699" i="20" s="1"/>
  <c r="G701" i="20"/>
  <c r="G700" i="20" s="1"/>
  <c r="G699" i="20" s="1"/>
  <c r="G693" i="20"/>
  <c r="G692" i="20" s="1"/>
  <c r="I692" i="20"/>
  <c r="I689" i="20" s="1"/>
  <c r="H692" i="20"/>
  <c r="I690" i="20"/>
  <c r="H690" i="20"/>
  <c r="G690" i="20"/>
  <c r="I687" i="20"/>
  <c r="I686" i="20" s="1"/>
  <c r="H687" i="20"/>
  <c r="H686" i="20" s="1"/>
  <c r="G687" i="20"/>
  <c r="G686" i="20" s="1"/>
  <c r="I685" i="20"/>
  <c r="I684" i="20" s="1"/>
  <c r="I683" i="20" s="1"/>
  <c r="H685" i="20"/>
  <c r="H684" i="20"/>
  <c r="H683" i="20" s="1"/>
  <c r="G684" i="20"/>
  <c r="G683" i="20" s="1"/>
  <c r="H682" i="20"/>
  <c r="H681" i="20" s="1"/>
  <c r="H680" i="20" s="1"/>
  <c r="I681" i="20"/>
  <c r="I680" i="20" s="1"/>
  <c r="G681" i="20"/>
  <c r="G680" i="20" s="1"/>
  <c r="I675" i="20"/>
  <c r="H675" i="20"/>
  <c r="G675" i="20"/>
  <c r="H674" i="20"/>
  <c r="H673" i="20" s="1"/>
  <c r="G674" i="20"/>
  <c r="I673" i="20"/>
  <c r="G673" i="20"/>
  <c r="G672" i="20" s="1"/>
  <c r="I671" i="20"/>
  <c r="I670" i="20" s="1"/>
  <c r="I669" i="20" s="1"/>
  <c r="H671" i="20"/>
  <c r="H670" i="20" s="1"/>
  <c r="H669" i="20" s="1"/>
  <c r="G670" i="20"/>
  <c r="G669" i="20" s="1"/>
  <c r="I668" i="20"/>
  <c r="I667" i="20" s="1"/>
  <c r="I666" i="20" s="1"/>
  <c r="H668" i="20"/>
  <c r="G668" i="20"/>
  <c r="G667" i="20" s="1"/>
  <c r="G666" i="20" s="1"/>
  <c r="H667" i="20"/>
  <c r="H666" i="20" s="1"/>
  <c r="H661" i="20"/>
  <c r="H660" i="20" s="1"/>
  <c r="G661" i="20"/>
  <c r="G660" i="20" s="1"/>
  <c r="G659" i="20"/>
  <c r="G658" i="20" s="1"/>
  <c r="I658" i="20"/>
  <c r="H658" i="20"/>
  <c r="I656" i="20"/>
  <c r="H656" i="20"/>
  <c r="G656" i="20"/>
  <c r="I654" i="20"/>
  <c r="I653" i="20" s="1"/>
  <c r="H654" i="20"/>
  <c r="G654" i="20"/>
  <c r="G653" i="20" s="1"/>
  <c r="G652" i="20" s="1"/>
  <c r="H653" i="20"/>
  <c r="H652" i="20" s="1"/>
  <c r="I652" i="20"/>
  <c r="I647" i="20"/>
  <c r="I646" i="20" s="1"/>
  <c r="H647" i="20"/>
  <c r="H646" i="20" s="1"/>
  <c r="G647" i="20"/>
  <c r="G646" i="20" s="1"/>
  <c r="I645" i="20"/>
  <c r="I644" i="20" s="1"/>
  <c r="I643" i="20" s="1"/>
  <c r="H645" i="20"/>
  <c r="H644" i="20" s="1"/>
  <c r="H643" i="20" s="1"/>
  <c r="G645" i="20"/>
  <c r="G644" i="20" s="1"/>
  <c r="G643" i="20" s="1"/>
  <c r="H640" i="20"/>
  <c r="G640" i="20"/>
  <c r="G639" i="20" s="1"/>
  <c r="I639" i="20"/>
  <c r="H639" i="20"/>
  <c r="G638" i="20"/>
  <c r="G637" i="20" s="1"/>
  <c r="I637" i="20"/>
  <c r="H637" i="20"/>
  <c r="H635" i="20"/>
  <c r="H634" i="20" s="1"/>
  <c r="H633" i="20" s="1"/>
  <c r="I634" i="20"/>
  <c r="I633" i="20" s="1"/>
  <c r="G634" i="20"/>
  <c r="G633" i="20" s="1"/>
  <c r="I629" i="20"/>
  <c r="I628" i="20" s="1"/>
  <c r="H629" i="20"/>
  <c r="H628" i="20" s="1"/>
  <c r="G629" i="20"/>
  <c r="G628" i="20" s="1"/>
  <c r="G627" i="20"/>
  <c r="G626" i="20" s="1"/>
  <c r="G625" i="20" s="1"/>
  <c r="I626" i="20"/>
  <c r="I625" i="20" s="1"/>
  <c r="I624" i="20" s="1"/>
  <c r="I623" i="20" s="1"/>
  <c r="H626" i="20"/>
  <c r="H625" i="20" s="1"/>
  <c r="I620" i="20"/>
  <c r="I619" i="20" s="1"/>
  <c r="H620" i="20"/>
  <c r="H619" i="20" s="1"/>
  <c r="G620" i="20"/>
  <c r="G619" i="20" s="1"/>
  <c r="H618" i="20"/>
  <c r="H617" i="20" s="1"/>
  <c r="H616" i="20" s="1"/>
  <c r="I617" i="20"/>
  <c r="I616" i="20" s="1"/>
  <c r="G617" i="20"/>
  <c r="G616" i="20" s="1"/>
  <c r="G615" i="20"/>
  <c r="G614" i="20" s="1"/>
  <c r="G613" i="20" s="1"/>
  <c r="I614" i="20"/>
  <c r="I613" i="20" s="1"/>
  <c r="H614" i="20"/>
  <c r="H613" i="20" s="1"/>
  <c r="G610" i="20"/>
  <c r="G609" i="20" s="1"/>
  <c r="I609" i="20"/>
  <c r="H609" i="20"/>
  <c r="G608" i="20"/>
  <c r="G607" i="20" s="1"/>
  <c r="I607" i="20"/>
  <c r="H607" i="20"/>
  <c r="G605" i="20"/>
  <c r="G604" i="20" s="1"/>
  <c r="G603" i="20" s="1"/>
  <c r="I604" i="20"/>
  <c r="I603" i="20" s="1"/>
  <c r="I602" i="20" s="1"/>
  <c r="I601" i="20" s="1"/>
  <c r="H604" i="20"/>
  <c r="H603" i="20" s="1"/>
  <c r="H602" i="20" s="1"/>
  <c r="H601" i="20" s="1"/>
  <c r="I597" i="20"/>
  <c r="I596" i="20" s="1"/>
  <c r="H597" i="20"/>
  <c r="H596" i="20" s="1"/>
  <c r="G597" i="20"/>
  <c r="G596" i="20" s="1"/>
  <c r="I594" i="20"/>
  <c r="I593" i="20" s="1"/>
  <c r="H594" i="20"/>
  <c r="H593" i="20" s="1"/>
  <c r="H592" i="20" s="1"/>
  <c r="H591" i="20" s="1"/>
  <c r="H590" i="20" s="1"/>
  <c r="G594" i="20"/>
  <c r="G593" i="20" s="1"/>
  <c r="H588" i="20"/>
  <c r="H587" i="20" s="1"/>
  <c r="H586" i="20" s="1"/>
  <c r="H585" i="20" s="1"/>
  <c r="G588" i="20"/>
  <c r="G587" i="20" s="1"/>
  <c r="G586" i="20" s="1"/>
  <c r="G585" i="20" s="1"/>
  <c r="I583" i="20"/>
  <c r="H583" i="20"/>
  <c r="G583" i="20"/>
  <c r="G582" i="20"/>
  <c r="G581" i="20" s="1"/>
  <c r="I581" i="20"/>
  <c r="I580" i="20" s="1"/>
  <c r="H581" i="20"/>
  <c r="H580" i="20" s="1"/>
  <c r="I579" i="20"/>
  <c r="I578" i="20" s="1"/>
  <c r="I577" i="20" s="1"/>
  <c r="H579" i="20"/>
  <c r="H578" i="20" s="1"/>
  <c r="H577" i="20" s="1"/>
  <c r="G579" i="20"/>
  <c r="G578" i="20"/>
  <c r="G577" i="20" s="1"/>
  <c r="I572" i="20"/>
  <c r="I571" i="20" s="1"/>
  <c r="I570" i="20" s="1"/>
  <c r="I569" i="20" s="1"/>
  <c r="H572" i="20"/>
  <c r="H571" i="20" s="1"/>
  <c r="H570" i="20" s="1"/>
  <c r="H569" i="20" s="1"/>
  <c r="G572" i="20"/>
  <c r="G571" i="20" s="1"/>
  <c r="G570" i="20" s="1"/>
  <c r="G569" i="20" s="1"/>
  <c r="I567" i="20"/>
  <c r="I566" i="20" s="1"/>
  <c r="H567" i="20"/>
  <c r="H566" i="20" s="1"/>
  <c r="G567" i="20"/>
  <c r="G566" i="20" s="1"/>
  <c r="I564" i="20"/>
  <c r="I563" i="20" s="1"/>
  <c r="H564" i="20"/>
  <c r="H563" i="20" s="1"/>
  <c r="G564" i="20"/>
  <c r="G563" i="20" s="1"/>
  <c r="I561" i="20"/>
  <c r="I560" i="20" s="1"/>
  <c r="I559" i="20" s="1"/>
  <c r="H561" i="20"/>
  <c r="H560" i="20" s="1"/>
  <c r="H559" i="20" s="1"/>
  <c r="G561" i="20"/>
  <c r="G560" i="20" s="1"/>
  <c r="G559" i="20" s="1"/>
  <c r="I558" i="20"/>
  <c r="I557" i="20" s="1"/>
  <c r="I556" i="20" s="1"/>
  <c r="H558" i="20"/>
  <c r="H557" i="20" s="1"/>
  <c r="H556" i="20" s="1"/>
  <c r="G558" i="20"/>
  <c r="G557" i="20" s="1"/>
  <c r="G556" i="20" s="1"/>
  <c r="I555" i="20"/>
  <c r="I554" i="20" s="1"/>
  <c r="H555" i="20"/>
  <c r="G555" i="20"/>
  <c r="G554" i="20" s="1"/>
  <c r="G553" i="20" s="1"/>
  <c r="H554" i="20"/>
  <c r="H553" i="20" s="1"/>
  <c r="I553" i="20"/>
  <c r="I551" i="20"/>
  <c r="I550" i="20" s="1"/>
  <c r="H551" i="20"/>
  <c r="H550" i="20" s="1"/>
  <c r="G551" i="20"/>
  <c r="G550" i="20" s="1"/>
  <c r="G549" i="20"/>
  <c r="I548" i="20"/>
  <c r="I547" i="20" s="1"/>
  <c r="H548" i="20"/>
  <c r="H547" i="20" s="1"/>
  <c r="G548" i="20"/>
  <c r="G547" i="20" s="1"/>
  <c r="I545" i="20"/>
  <c r="I544" i="20" s="1"/>
  <c r="H545" i="20"/>
  <c r="H544" i="20" s="1"/>
  <c r="G545" i="20"/>
  <c r="G544" i="20" s="1"/>
  <c r="I542" i="20"/>
  <c r="I541" i="20" s="1"/>
  <c r="H542" i="20"/>
  <c r="H541" i="20" s="1"/>
  <c r="G542" i="20"/>
  <c r="G541" i="20" s="1"/>
  <c r="I540" i="20"/>
  <c r="I539" i="20" s="1"/>
  <c r="I538" i="20" s="1"/>
  <c r="H540" i="20"/>
  <c r="H539" i="20" s="1"/>
  <c r="H538" i="20" s="1"/>
  <c r="G539" i="20"/>
  <c r="G538" i="20" s="1"/>
  <c r="I533" i="20"/>
  <c r="I532" i="20" s="1"/>
  <c r="I531" i="20" s="1"/>
  <c r="I530" i="20" s="1"/>
  <c r="H533" i="20"/>
  <c r="H532" i="20" s="1"/>
  <c r="H531" i="20" s="1"/>
  <c r="H530" i="20" s="1"/>
  <c r="G533" i="20"/>
  <c r="G532" i="20" s="1"/>
  <c r="G531" i="20" s="1"/>
  <c r="G530" i="20" s="1"/>
  <c r="I528" i="20"/>
  <c r="H528" i="20"/>
  <c r="G528" i="20"/>
  <c r="I526" i="20"/>
  <c r="H526" i="20"/>
  <c r="G526" i="20"/>
  <c r="I525" i="20"/>
  <c r="I524" i="20" s="1"/>
  <c r="H525" i="20"/>
  <c r="G525" i="20"/>
  <c r="G524" i="20" s="1"/>
  <c r="H524" i="20"/>
  <c r="H517" i="20"/>
  <c r="H516" i="20" s="1"/>
  <c r="H515" i="20" s="1"/>
  <c r="H514" i="20" s="1"/>
  <c r="G517" i="20"/>
  <c r="G516" i="20" s="1"/>
  <c r="G515" i="20" s="1"/>
  <c r="G514" i="20" s="1"/>
  <c r="G513" i="20"/>
  <c r="G512" i="20" s="1"/>
  <c r="G511" i="20" s="1"/>
  <c r="I512" i="20"/>
  <c r="I511" i="20" s="1"/>
  <c r="H512" i="20"/>
  <c r="H511" i="20" s="1"/>
  <c r="I510" i="20"/>
  <c r="I509" i="20" s="1"/>
  <c r="I508" i="20" s="1"/>
  <c r="H510" i="20"/>
  <c r="G509" i="20"/>
  <c r="G508" i="20" s="1"/>
  <c r="H509" i="20"/>
  <c r="H508" i="20" s="1"/>
  <c r="I506" i="20"/>
  <c r="H506" i="20"/>
  <c r="G506" i="20"/>
  <c r="I504" i="20"/>
  <c r="H504" i="20"/>
  <c r="G504" i="20"/>
  <c r="G502" i="20"/>
  <c r="G501" i="20" s="1"/>
  <c r="G500" i="20" s="1"/>
  <c r="I501" i="20"/>
  <c r="I500" i="20" s="1"/>
  <c r="H501" i="20"/>
  <c r="H500" i="20" s="1"/>
  <c r="I492" i="20"/>
  <c r="I491" i="20" s="1"/>
  <c r="I490" i="20" s="1"/>
  <c r="I489" i="20" s="1"/>
  <c r="H492" i="20"/>
  <c r="H491" i="20" s="1"/>
  <c r="H490" i="20" s="1"/>
  <c r="H489" i="20" s="1"/>
  <c r="G492" i="20"/>
  <c r="G491" i="20" s="1"/>
  <c r="G490" i="20" s="1"/>
  <c r="G489" i="20" s="1"/>
  <c r="I487" i="20"/>
  <c r="H487" i="20"/>
  <c r="G487" i="20"/>
  <c r="I486" i="20"/>
  <c r="I485" i="20" s="1"/>
  <c r="H486" i="20"/>
  <c r="H485" i="20" s="1"/>
  <c r="G486" i="20"/>
  <c r="G485" i="20" s="1"/>
  <c r="I483" i="20"/>
  <c r="H483" i="20"/>
  <c r="H482" i="20" s="1"/>
  <c r="H481" i="20" s="1"/>
  <c r="G483" i="20"/>
  <c r="G482" i="20" s="1"/>
  <c r="G481" i="20" s="1"/>
  <c r="I482" i="20"/>
  <c r="I481" i="20" s="1"/>
  <c r="I475" i="20"/>
  <c r="I474" i="20" s="1"/>
  <c r="H475" i="20"/>
  <c r="H474" i="20" s="1"/>
  <c r="G475" i="20"/>
  <c r="G474" i="20" s="1"/>
  <c r="H473" i="20"/>
  <c r="H472" i="20" s="1"/>
  <c r="H471" i="20" s="1"/>
  <c r="I472" i="20"/>
  <c r="I471" i="20" s="1"/>
  <c r="G472" i="20"/>
  <c r="G471" i="20" s="1"/>
  <c r="G470" i="20"/>
  <c r="I469" i="20"/>
  <c r="I468" i="20" s="1"/>
  <c r="H469" i="20"/>
  <c r="H468" i="20" s="1"/>
  <c r="G469" i="20"/>
  <c r="G468" i="20" s="1"/>
  <c r="I467" i="20"/>
  <c r="I466" i="20" s="1"/>
  <c r="I465" i="20" s="1"/>
  <c r="H467" i="20"/>
  <c r="H466" i="20" s="1"/>
  <c r="H465" i="20" s="1"/>
  <c r="G467" i="20"/>
  <c r="G466" i="20" s="1"/>
  <c r="G465" i="20" s="1"/>
  <c r="I462" i="20"/>
  <c r="I461" i="20" s="1"/>
  <c r="I460" i="20" s="1"/>
  <c r="H462" i="20"/>
  <c r="H461" i="20" s="1"/>
  <c r="H460" i="20" s="1"/>
  <c r="G462" i="20"/>
  <c r="G461" i="20" s="1"/>
  <c r="G460" i="20" s="1"/>
  <c r="I457" i="20"/>
  <c r="I456" i="20" s="1"/>
  <c r="H457" i="20"/>
  <c r="H456" i="20" s="1"/>
  <c r="G457" i="20"/>
  <c r="G456" i="20" s="1"/>
  <c r="I454" i="20"/>
  <c r="I453" i="20" s="1"/>
  <c r="H454" i="20"/>
  <c r="H453" i="20" s="1"/>
  <c r="G454" i="20"/>
  <c r="G453" i="20" s="1"/>
  <c r="I451" i="20"/>
  <c r="I450" i="20" s="1"/>
  <c r="H451" i="20"/>
  <c r="H450" i="20" s="1"/>
  <c r="G451" i="20"/>
  <c r="G450" i="20" s="1"/>
  <c r="I448" i="20"/>
  <c r="I447" i="20" s="1"/>
  <c r="H448" i="20"/>
  <c r="H447" i="20" s="1"/>
  <c r="G448" i="20"/>
  <c r="G447" i="20" s="1"/>
  <c r="I445" i="20"/>
  <c r="I444" i="20" s="1"/>
  <c r="H445" i="20"/>
  <c r="H444" i="20" s="1"/>
  <c r="G445" i="20"/>
  <c r="G444" i="20" s="1"/>
  <c r="I442" i="20"/>
  <c r="I441" i="20" s="1"/>
  <c r="H442" i="20"/>
  <c r="H441" i="20" s="1"/>
  <c r="G442" i="20"/>
  <c r="G441" i="20" s="1"/>
  <c r="I439" i="20"/>
  <c r="I438" i="20" s="1"/>
  <c r="H439" i="20"/>
  <c r="H438" i="20" s="1"/>
  <c r="G439" i="20"/>
  <c r="G438" i="20" s="1"/>
  <c r="I436" i="20"/>
  <c r="H436" i="20"/>
  <c r="G436" i="20"/>
  <c r="I434" i="20"/>
  <c r="H434" i="20"/>
  <c r="G434" i="20"/>
  <c r="I431" i="20"/>
  <c r="I430" i="20" s="1"/>
  <c r="H431" i="20"/>
  <c r="H430" i="20" s="1"/>
  <c r="G431" i="20"/>
  <c r="G430" i="20" s="1"/>
  <c r="I429" i="20"/>
  <c r="H429" i="20"/>
  <c r="H428" i="20" s="1"/>
  <c r="H427" i="20" s="1"/>
  <c r="G429" i="20"/>
  <c r="G428" i="20" s="1"/>
  <c r="G427" i="20" s="1"/>
  <c r="I428" i="20"/>
  <c r="I427" i="20" s="1"/>
  <c r="G422" i="20"/>
  <c r="G421" i="20" s="1"/>
  <c r="G420" i="20" s="1"/>
  <c r="G419" i="20" s="1"/>
  <c r="G418" i="20" s="1"/>
  <c r="G417" i="20" s="1"/>
  <c r="G416" i="20" s="1"/>
  <c r="G415" i="20" s="1"/>
  <c r="I421" i="20"/>
  <c r="I420" i="20" s="1"/>
  <c r="I419" i="20" s="1"/>
  <c r="I418" i="20" s="1"/>
  <c r="I417" i="20" s="1"/>
  <c r="I416" i="20" s="1"/>
  <c r="I415" i="20" s="1"/>
  <c r="H421" i="20"/>
  <c r="H420" i="20" s="1"/>
  <c r="H419" i="20" s="1"/>
  <c r="H418" i="20" s="1"/>
  <c r="H417" i="20" s="1"/>
  <c r="H416" i="20" s="1"/>
  <c r="H415" i="20" s="1"/>
  <c r="I412" i="20"/>
  <c r="H412" i="20"/>
  <c r="G412" i="20"/>
  <c r="G411" i="20"/>
  <c r="G410" i="20" s="1"/>
  <c r="I410" i="20"/>
  <c r="H410" i="20"/>
  <c r="G409" i="20"/>
  <c r="G408" i="20" s="1"/>
  <c r="I408" i="20"/>
  <c r="H408" i="20"/>
  <c r="I403" i="20"/>
  <c r="I402" i="20" s="1"/>
  <c r="H403" i="20"/>
  <c r="H402" i="20" s="1"/>
  <c r="G403" i="20"/>
  <c r="G402" i="20" s="1"/>
  <c r="G401" i="20"/>
  <c r="G400" i="20" s="1"/>
  <c r="G399" i="20" s="1"/>
  <c r="I400" i="20"/>
  <c r="I399" i="20" s="1"/>
  <c r="H400" i="20"/>
  <c r="H399" i="20" s="1"/>
  <c r="I397" i="20"/>
  <c r="I396" i="20" s="1"/>
  <c r="H397" i="20"/>
  <c r="H396" i="20" s="1"/>
  <c r="G397" i="20"/>
  <c r="G396" i="20" s="1"/>
  <c r="G395" i="20"/>
  <c r="G394" i="20" s="1"/>
  <c r="I394" i="20"/>
  <c r="H394" i="20"/>
  <c r="G393" i="20"/>
  <c r="G392" i="20" s="1"/>
  <c r="I392" i="20"/>
  <c r="H392" i="20"/>
  <c r="G390" i="20"/>
  <c r="I389" i="20"/>
  <c r="H389" i="20"/>
  <c r="G389" i="20"/>
  <c r="G388" i="20"/>
  <c r="I387" i="20"/>
  <c r="H387" i="20"/>
  <c r="H386" i="20" s="1"/>
  <c r="G387" i="20"/>
  <c r="I385" i="20"/>
  <c r="I384" i="20" s="1"/>
  <c r="I383" i="20" s="1"/>
  <c r="H385" i="20"/>
  <c r="H384" i="20" s="1"/>
  <c r="H383" i="20" s="1"/>
  <c r="G384" i="20"/>
  <c r="G383" i="20" s="1"/>
  <c r="I381" i="20"/>
  <c r="I380" i="20" s="1"/>
  <c r="H381" i="20"/>
  <c r="H380" i="20" s="1"/>
  <c r="G381" i="20"/>
  <c r="G380" i="20" s="1"/>
  <c r="I378" i="20"/>
  <c r="H378" i="20"/>
  <c r="G378" i="20"/>
  <c r="G377" i="20"/>
  <c r="G376" i="20" s="1"/>
  <c r="I376" i="20"/>
  <c r="I375" i="20" s="1"/>
  <c r="H376" i="20"/>
  <c r="H375" i="20" s="1"/>
  <c r="H370" i="20"/>
  <c r="H369" i="20" s="1"/>
  <c r="H368" i="20" s="1"/>
  <c r="H367" i="20" s="1"/>
  <c r="G370" i="20"/>
  <c r="G369" i="20" s="1"/>
  <c r="G368" i="20" s="1"/>
  <c r="G367" i="20" s="1"/>
  <c r="G366" i="20"/>
  <c r="G365" i="20" s="1"/>
  <c r="I365" i="20"/>
  <c r="H365" i="20"/>
  <c r="I363" i="20"/>
  <c r="H363" i="20"/>
  <c r="G363" i="20"/>
  <c r="I361" i="20"/>
  <c r="I360" i="20" s="1"/>
  <c r="I359" i="20" s="1"/>
  <c r="H361" i="20"/>
  <c r="H360" i="20" s="1"/>
  <c r="H359" i="20" s="1"/>
  <c r="G361" i="20"/>
  <c r="G360" i="20" s="1"/>
  <c r="G359" i="20" s="1"/>
  <c r="I353" i="20"/>
  <c r="I352" i="20" s="1"/>
  <c r="I351" i="20" s="1"/>
  <c r="I350" i="20" s="1"/>
  <c r="I349" i="20" s="1"/>
  <c r="I348" i="20" s="1"/>
  <c r="H353" i="20"/>
  <c r="H352" i="20" s="1"/>
  <c r="H351" i="20" s="1"/>
  <c r="H350" i="20" s="1"/>
  <c r="H349" i="20" s="1"/>
  <c r="H348" i="20" s="1"/>
  <c r="G353" i="20"/>
  <c r="G352" i="20" s="1"/>
  <c r="G351" i="20" s="1"/>
  <c r="G350" i="20" s="1"/>
  <c r="G349" i="20" s="1"/>
  <c r="G348" i="20" s="1"/>
  <c r="I345" i="20"/>
  <c r="I344" i="20" s="1"/>
  <c r="I343" i="20" s="1"/>
  <c r="I342" i="20" s="1"/>
  <c r="H345" i="20"/>
  <c r="H344" i="20" s="1"/>
  <c r="H343" i="20" s="1"/>
  <c r="H342" i="20" s="1"/>
  <c r="G345" i="20"/>
  <c r="G344" i="20" s="1"/>
  <c r="G343" i="20" s="1"/>
  <c r="G342" i="20" s="1"/>
  <c r="I340" i="20"/>
  <c r="H340" i="20"/>
  <c r="G340" i="20"/>
  <c r="G339" i="20"/>
  <c r="G338" i="20" s="1"/>
  <c r="I338" i="20"/>
  <c r="I337" i="20" s="1"/>
  <c r="H338" i="20"/>
  <c r="I336" i="20"/>
  <c r="H336" i="20"/>
  <c r="H335" i="20" s="1"/>
  <c r="H334" i="20" s="1"/>
  <c r="H333" i="20" s="1"/>
  <c r="G336" i="20"/>
  <c r="G335" i="20" s="1"/>
  <c r="G334" i="20" s="1"/>
  <c r="G333" i="20" s="1"/>
  <c r="I335" i="20"/>
  <c r="I334" i="20" s="1"/>
  <c r="I333" i="20" s="1"/>
  <c r="I329" i="20"/>
  <c r="I328" i="20" s="1"/>
  <c r="I327" i="20" s="1"/>
  <c r="I326" i="20" s="1"/>
  <c r="I325" i="20" s="1"/>
  <c r="H329" i="20"/>
  <c r="H328" i="20" s="1"/>
  <c r="H327" i="20" s="1"/>
  <c r="H326" i="20" s="1"/>
  <c r="H325" i="20" s="1"/>
  <c r="G329" i="20"/>
  <c r="G328" i="20" s="1"/>
  <c r="G327" i="20" s="1"/>
  <c r="G326" i="20" s="1"/>
  <c r="G325" i="20" s="1"/>
  <c r="I324" i="20"/>
  <c r="H324" i="20"/>
  <c r="H323" i="20" s="1"/>
  <c r="H322" i="20" s="1"/>
  <c r="H321" i="20" s="1"/>
  <c r="G323" i="20"/>
  <c r="G322" i="20" s="1"/>
  <c r="G321" i="20" s="1"/>
  <c r="I323" i="20"/>
  <c r="I322" i="20" s="1"/>
  <c r="I321" i="20" s="1"/>
  <c r="I317" i="20"/>
  <c r="I316" i="20" s="1"/>
  <c r="I315" i="20" s="1"/>
  <c r="I314" i="20" s="1"/>
  <c r="I313" i="20" s="1"/>
  <c r="I312" i="20" s="1"/>
  <c r="I311" i="20" s="1"/>
  <c r="H317" i="20"/>
  <c r="H316" i="20" s="1"/>
  <c r="H315" i="20" s="1"/>
  <c r="H314" i="20" s="1"/>
  <c r="H313" i="20" s="1"/>
  <c r="H312" i="20" s="1"/>
  <c r="H311" i="20" s="1"/>
  <c r="G317" i="20"/>
  <c r="G316" i="20" s="1"/>
  <c r="G315" i="20" s="1"/>
  <c r="G314" i="20" s="1"/>
  <c r="G313" i="20" s="1"/>
  <c r="G312" i="20" s="1"/>
  <c r="G311" i="20" s="1"/>
  <c r="I309" i="20"/>
  <c r="I308" i="20" s="1"/>
  <c r="I307" i="20" s="1"/>
  <c r="I306" i="20" s="1"/>
  <c r="I305" i="20" s="1"/>
  <c r="I304" i="20" s="1"/>
  <c r="I303" i="20" s="1"/>
  <c r="H309" i="20"/>
  <c r="H308" i="20" s="1"/>
  <c r="H307" i="20" s="1"/>
  <c r="H306" i="20" s="1"/>
  <c r="H305" i="20" s="1"/>
  <c r="H304" i="20" s="1"/>
  <c r="H303" i="20" s="1"/>
  <c r="G309" i="20"/>
  <c r="G308" i="20" s="1"/>
  <c r="G307" i="20" s="1"/>
  <c r="G306" i="20" s="1"/>
  <c r="G305" i="20" s="1"/>
  <c r="G304" i="20" s="1"/>
  <c r="G303" i="20" s="1"/>
  <c r="I301" i="20"/>
  <c r="I300" i="20" s="1"/>
  <c r="I299" i="20" s="1"/>
  <c r="I298" i="20" s="1"/>
  <c r="I297" i="20" s="1"/>
  <c r="I296" i="20" s="1"/>
  <c r="H301" i="20"/>
  <c r="H300" i="20" s="1"/>
  <c r="H299" i="20" s="1"/>
  <c r="H298" i="20" s="1"/>
  <c r="H297" i="20" s="1"/>
  <c r="H296" i="20" s="1"/>
  <c r="G301" i="20"/>
  <c r="G300" i="20" s="1"/>
  <c r="G299" i="20" s="1"/>
  <c r="G298" i="20" s="1"/>
  <c r="G297" i="20" s="1"/>
  <c r="G296" i="20" s="1"/>
  <c r="I294" i="20"/>
  <c r="I293" i="20" s="1"/>
  <c r="I292" i="20" s="1"/>
  <c r="I291" i="20" s="1"/>
  <c r="I290" i="20" s="1"/>
  <c r="H294" i="20"/>
  <c r="H293" i="20" s="1"/>
  <c r="H292" i="20" s="1"/>
  <c r="H291" i="20" s="1"/>
  <c r="H290" i="20" s="1"/>
  <c r="G294" i="20"/>
  <c r="G293" i="20" s="1"/>
  <c r="G292" i="20" s="1"/>
  <c r="G291" i="20" s="1"/>
  <c r="G290" i="20" s="1"/>
  <c r="H288" i="20"/>
  <c r="H287" i="20" s="1"/>
  <c r="G288" i="20"/>
  <c r="G287" i="20" s="1"/>
  <c r="I285" i="20"/>
  <c r="H285" i="20"/>
  <c r="G285" i="20"/>
  <c r="I283" i="20"/>
  <c r="H283" i="20"/>
  <c r="G283" i="20"/>
  <c r="G281" i="20"/>
  <c r="G280" i="20" s="1"/>
  <c r="G279" i="20" s="1"/>
  <c r="I280" i="20"/>
  <c r="I279" i="20" s="1"/>
  <c r="H280" i="20"/>
  <c r="H279" i="20" s="1"/>
  <c r="I273" i="20"/>
  <c r="I272" i="20" s="1"/>
  <c r="I271" i="20" s="1"/>
  <c r="I270" i="20" s="1"/>
  <c r="I269" i="20" s="1"/>
  <c r="I268" i="20" s="1"/>
  <c r="I267" i="20" s="1"/>
  <c r="H273" i="20"/>
  <c r="H272" i="20" s="1"/>
  <c r="H271" i="20" s="1"/>
  <c r="H270" i="20" s="1"/>
  <c r="H269" i="20" s="1"/>
  <c r="H268" i="20" s="1"/>
  <c r="H267" i="20" s="1"/>
  <c r="G273" i="20"/>
  <c r="G272" i="20" s="1"/>
  <c r="G271" i="20" s="1"/>
  <c r="G270" i="20" s="1"/>
  <c r="G269" i="20" s="1"/>
  <c r="G268" i="20" s="1"/>
  <c r="G267" i="20" s="1"/>
  <c r="I265" i="20"/>
  <c r="I264" i="20" s="1"/>
  <c r="I263" i="20" s="1"/>
  <c r="I262" i="20" s="1"/>
  <c r="I261" i="20" s="1"/>
  <c r="I260" i="20" s="1"/>
  <c r="H265" i="20"/>
  <c r="H264" i="20" s="1"/>
  <c r="H263" i="20" s="1"/>
  <c r="H262" i="20" s="1"/>
  <c r="H261" i="20" s="1"/>
  <c r="H260" i="20" s="1"/>
  <c r="G265" i="20"/>
  <c r="G264" i="20" s="1"/>
  <c r="G263" i="20" s="1"/>
  <c r="G262" i="20" s="1"/>
  <c r="G261" i="20" s="1"/>
  <c r="G260" i="20" s="1"/>
  <c r="I258" i="20"/>
  <c r="I257" i="20" s="1"/>
  <c r="I256" i="20" s="1"/>
  <c r="I255" i="20" s="1"/>
  <c r="I254" i="20" s="1"/>
  <c r="H258" i="20"/>
  <c r="H257" i="20" s="1"/>
  <c r="H256" i="20" s="1"/>
  <c r="H255" i="20" s="1"/>
  <c r="H254" i="20" s="1"/>
  <c r="G258" i="20"/>
  <c r="G257" i="20" s="1"/>
  <c r="G256" i="20" s="1"/>
  <c r="G255" i="20" s="1"/>
  <c r="G254" i="20" s="1"/>
  <c r="H252" i="20"/>
  <c r="H251" i="20" s="1"/>
  <c r="G252" i="20"/>
  <c r="G251" i="20" s="1"/>
  <c r="I249" i="20"/>
  <c r="H249" i="20"/>
  <c r="G249" i="20"/>
  <c r="G248" i="20"/>
  <c r="G247" i="20" s="1"/>
  <c r="I247" i="20"/>
  <c r="I246" i="20" s="1"/>
  <c r="H247" i="20"/>
  <c r="H246" i="20" s="1"/>
  <c r="G245" i="20"/>
  <c r="G244" i="20" s="1"/>
  <c r="G243" i="20" s="1"/>
  <c r="I244" i="20"/>
  <c r="I243" i="20" s="1"/>
  <c r="H244" i="20"/>
  <c r="H243" i="20" s="1"/>
  <c r="G237" i="20"/>
  <c r="G236" i="20" s="1"/>
  <c r="G235" i="20" s="1"/>
  <c r="G234" i="20" s="1"/>
  <c r="G233" i="20" s="1"/>
  <c r="G232" i="20" s="1"/>
  <c r="I236" i="20"/>
  <c r="I235" i="20" s="1"/>
  <c r="I234" i="20" s="1"/>
  <c r="I233" i="20" s="1"/>
  <c r="I232" i="20" s="1"/>
  <c r="H236" i="20"/>
  <c r="H235" i="20" s="1"/>
  <c r="H234" i="20" s="1"/>
  <c r="H233" i="20" s="1"/>
  <c r="H232" i="20" s="1"/>
  <c r="I230" i="20"/>
  <c r="I229" i="20" s="1"/>
  <c r="H230" i="20"/>
  <c r="H229" i="20" s="1"/>
  <c r="G230" i="20"/>
  <c r="G229" i="20" s="1"/>
  <c r="G228" i="20"/>
  <c r="G227" i="20" s="1"/>
  <c r="G226" i="20" s="1"/>
  <c r="I227" i="20"/>
  <c r="I226" i="20" s="1"/>
  <c r="H227" i="20"/>
  <c r="H226" i="20" s="1"/>
  <c r="I224" i="20"/>
  <c r="I223" i="20" s="1"/>
  <c r="H224" i="20"/>
  <c r="H223" i="20" s="1"/>
  <c r="G224" i="20"/>
  <c r="G223" i="20" s="1"/>
  <c r="G222" i="20"/>
  <c r="G221" i="20" s="1"/>
  <c r="G220" i="20" s="1"/>
  <c r="I221" i="20"/>
  <c r="I220" i="20" s="1"/>
  <c r="H221" i="20"/>
  <c r="H220" i="20" s="1"/>
  <c r="G219" i="20"/>
  <c r="G218" i="20" s="1"/>
  <c r="G217" i="20" s="1"/>
  <c r="I218" i="20"/>
  <c r="I217" i="20" s="1"/>
  <c r="H218" i="20"/>
  <c r="H217" i="20" s="1"/>
  <c r="I216" i="20"/>
  <c r="I215" i="20" s="1"/>
  <c r="I214" i="20" s="1"/>
  <c r="G216" i="20"/>
  <c r="G215" i="20" s="1"/>
  <c r="G214" i="20" s="1"/>
  <c r="H215" i="20"/>
  <c r="H214" i="20" s="1"/>
  <c r="I210" i="20"/>
  <c r="I209" i="20" s="1"/>
  <c r="I208" i="20" s="1"/>
  <c r="H210" i="20"/>
  <c r="H209" i="20" s="1"/>
  <c r="H208" i="20" s="1"/>
  <c r="G210" i="20"/>
  <c r="G209" i="20" s="1"/>
  <c r="G208" i="20" s="1"/>
  <c r="I205" i="20"/>
  <c r="I204" i="20" s="1"/>
  <c r="I203" i="20" s="1"/>
  <c r="I202" i="20" s="1"/>
  <c r="I201" i="20" s="1"/>
  <c r="H205" i="20"/>
  <c r="H204" i="20" s="1"/>
  <c r="H203" i="20" s="1"/>
  <c r="H202" i="20" s="1"/>
  <c r="H201" i="20" s="1"/>
  <c r="G205" i="20"/>
  <c r="G204" i="20" s="1"/>
  <c r="G203" i="20" s="1"/>
  <c r="G202" i="20" s="1"/>
  <c r="G201" i="20" s="1"/>
  <c r="I198" i="20"/>
  <c r="H198" i="20"/>
  <c r="G198" i="20"/>
  <c r="I197" i="20"/>
  <c r="I196" i="20" s="1"/>
  <c r="H197" i="20"/>
  <c r="H196" i="20" s="1"/>
  <c r="G197" i="20"/>
  <c r="G196" i="20"/>
  <c r="I192" i="20"/>
  <c r="I191" i="20" s="1"/>
  <c r="H192" i="20"/>
  <c r="H191" i="20" s="1"/>
  <c r="G192" i="20"/>
  <c r="G191" i="20" s="1"/>
  <c r="G190" i="20"/>
  <c r="G189" i="20" s="1"/>
  <c r="G188" i="20" s="1"/>
  <c r="I189" i="20"/>
  <c r="I188" i="20" s="1"/>
  <c r="H189" i="20"/>
  <c r="H188" i="20" s="1"/>
  <c r="I186" i="20"/>
  <c r="I185" i="20" s="1"/>
  <c r="H186" i="20"/>
  <c r="H185" i="20" s="1"/>
  <c r="G186" i="20"/>
  <c r="G185" i="20" s="1"/>
  <c r="I183" i="20"/>
  <c r="I182" i="20" s="1"/>
  <c r="H183" i="20"/>
  <c r="H182" i="20" s="1"/>
  <c r="G183" i="20"/>
  <c r="G182" i="20" s="1"/>
  <c r="G181" i="20"/>
  <c r="G180" i="20" s="1"/>
  <c r="G179" i="20" s="1"/>
  <c r="I180" i="20"/>
  <c r="I179" i="20" s="1"/>
  <c r="H180" i="20"/>
  <c r="H179" i="20" s="1"/>
  <c r="I176" i="20"/>
  <c r="I175" i="20" s="1"/>
  <c r="I174" i="20" s="1"/>
  <c r="H176" i="20"/>
  <c r="G176" i="20"/>
  <c r="H175" i="20"/>
  <c r="H174" i="20" s="1"/>
  <c r="G175" i="20"/>
  <c r="G174" i="20" s="1"/>
  <c r="I173" i="20"/>
  <c r="I172" i="20" s="1"/>
  <c r="I171" i="20" s="1"/>
  <c r="H173" i="20"/>
  <c r="H172" i="20" s="1"/>
  <c r="H171" i="20" s="1"/>
  <c r="G173" i="20"/>
  <c r="G172" i="20" s="1"/>
  <c r="G171" i="20" s="1"/>
  <c r="I169" i="20"/>
  <c r="I168" i="20" s="1"/>
  <c r="H169" i="20"/>
  <c r="H168" i="20" s="1"/>
  <c r="G169" i="20"/>
  <c r="G168" i="20" s="1"/>
  <c r="I166" i="20"/>
  <c r="I165" i="20" s="1"/>
  <c r="H166" i="20"/>
  <c r="H165" i="20" s="1"/>
  <c r="G166" i="20"/>
  <c r="G165" i="20" s="1"/>
  <c r="I164" i="20"/>
  <c r="I163" i="20" s="1"/>
  <c r="I162" i="20" s="1"/>
  <c r="H164" i="20"/>
  <c r="H163" i="20" s="1"/>
  <c r="H162" i="20" s="1"/>
  <c r="G163" i="20"/>
  <c r="G162" i="20" s="1"/>
  <c r="I160" i="20"/>
  <c r="I159" i="20" s="1"/>
  <c r="H160" i="20"/>
  <c r="H159" i="20" s="1"/>
  <c r="G160" i="20"/>
  <c r="G159" i="20" s="1"/>
  <c r="I154" i="20"/>
  <c r="H154" i="20"/>
  <c r="G154" i="20"/>
  <c r="I153" i="20"/>
  <c r="I152" i="20" s="1"/>
  <c r="H153" i="20"/>
  <c r="H152" i="20" s="1"/>
  <c r="G153" i="20"/>
  <c r="G152" i="20" s="1"/>
  <c r="I151" i="20"/>
  <c r="I150" i="20" s="1"/>
  <c r="H151" i="20"/>
  <c r="H150" i="20" s="1"/>
  <c r="G151" i="20"/>
  <c r="G150" i="20" s="1"/>
  <c r="G147" i="20"/>
  <c r="G146" i="20" s="1"/>
  <c r="G145" i="20" s="1"/>
  <c r="I146" i="20"/>
  <c r="I145" i="20" s="1"/>
  <c r="H146" i="20"/>
  <c r="H145" i="20" s="1"/>
  <c r="I139" i="20"/>
  <c r="I138" i="20" s="1"/>
  <c r="H139" i="20"/>
  <c r="H138" i="20" s="1"/>
  <c r="G139" i="20"/>
  <c r="G138" i="20" s="1"/>
  <c r="G137" i="20"/>
  <c r="G136" i="20" s="1"/>
  <c r="G135" i="20" s="1"/>
  <c r="I136" i="20"/>
  <c r="I135" i="20" s="1"/>
  <c r="H136" i="20"/>
  <c r="H135" i="20" s="1"/>
  <c r="I133" i="20"/>
  <c r="I132" i="20" s="1"/>
  <c r="H133" i="20"/>
  <c r="H132" i="20" s="1"/>
  <c r="G133" i="20"/>
  <c r="G132" i="20" s="1"/>
  <c r="G131" i="20"/>
  <c r="G130" i="20" s="1"/>
  <c r="G129" i="20" s="1"/>
  <c r="I130" i="20"/>
  <c r="I129" i="20" s="1"/>
  <c r="H130" i="20"/>
  <c r="H129" i="20" s="1"/>
  <c r="I126" i="20"/>
  <c r="I125" i="20" s="1"/>
  <c r="H126" i="20"/>
  <c r="H125" i="20" s="1"/>
  <c r="G126" i="20"/>
  <c r="G125" i="20" s="1"/>
  <c r="I123" i="20"/>
  <c r="H123" i="20"/>
  <c r="G123" i="20"/>
  <c r="I122" i="20"/>
  <c r="I121" i="20" s="1"/>
  <c r="H122" i="20"/>
  <c r="H121" i="20" s="1"/>
  <c r="G122" i="20"/>
  <c r="G121" i="20"/>
  <c r="I120" i="20"/>
  <c r="H120" i="20"/>
  <c r="H119" i="20" s="1"/>
  <c r="G120" i="20"/>
  <c r="G119" i="20" s="1"/>
  <c r="I119" i="20"/>
  <c r="I116" i="20"/>
  <c r="H116" i="20"/>
  <c r="G116" i="20"/>
  <c r="I115" i="20"/>
  <c r="I114" i="20" s="1"/>
  <c r="H115" i="20"/>
  <c r="H114" i="20" s="1"/>
  <c r="G115" i="20"/>
  <c r="G114" i="20" s="1"/>
  <c r="I113" i="20"/>
  <c r="I112" i="20" s="1"/>
  <c r="H113" i="20"/>
  <c r="H112" i="20" s="1"/>
  <c r="G113" i="20"/>
  <c r="G112" i="20" s="1"/>
  <c r="I106" i="20"/>
  <c r="I105" i="20" s="1"/>
  <c r="I104" i="20" s="1"/>
  <c r="H106" i="20"/>
  <c r="H105" i="20" s="1"/>
  <c r="H104" i="20" s="1"/>
  <c r="G106" i="20"/>
  <c r="G105" i="20" s="1"/>
  <c r="G104" i="20" s="1"/>
  <c r="I102" i="20"/>
  <c r="I101" i="20" s="1"/>
  <c r="I100" i="20" s="1"/>
  <c r="H102" i="20"/>
  <c r="H101" i="20" s="1"/>
  <c r="H100" i="20" s="1"/>
  <c r="G102" i="20"/>
  <c r="G101" i="20" s="1"/>
  <c r="G100" i="20" s="1"/>
  <c r="I98" i="20"/>
  <c r="I97" i="20" s="1"/>
  <c r="I96" i="20" s="1"/>
  <c r="H98" i="20"/>
  <c r="H97" i="20" s="1"/>
  <c r="H96" i="20" s="1"/>
  <c r="G98" i="20"/>
  <c r="G97" i="20" s="1"/>
  <c r="G96" i="20" s="1"/>
  <c r="I93" i="20"/>
  <c r="I92" i="20" s="1"/>
  <c r="I91" i="20" s="1"/>
  <c r="I90" i="20" s="1"/>
  <c r="H93" i="20"/>
  <c r="H92" i="20" s="1"/>
  <c r="H91" i="20" s="1"/>
  <c r="H90" i="20" s="1"/>
  <c r="G93" i="20"/>
  <c r="G92" i="20" s="1"/>
  <c r="G91" i="20" s="1"/>
  <c r="G90" i="20" s="1"/>
  <c r="I88" i="20"/>
  <c r="I87" i="20" s="1"/>
  <c r="H88" i="20"/>
  <c r="H87" i="20" s="1"/>
  <c r="G88" i="20"/>
  <c r="G87" i="20" s="1"/>
  <c r="I85" i="20"/>
  <c r="I84" i="20" s="1"/>
  <c r="H85" i="20"/>
  <c r="H84" i="20" s="1"/>
  <c r="G85" i="20"/>
  <c r="G84" i="20" s="1"/>
  <c r="I82" i="20"/>
  <c r="I81" i="20" s="1"/>
  <c r="H82" i="20"/>
  <c r="H81" i="20" s="1"/>
  <c r="G82" i="20"/>
  <c r="G81" i="20" s="1"/>
  <c r="I79" i="20"/>
  <c r="G79" i="20"/>
  <c r="G78" i="20" s="1"/>
  <c r="G77" i="20" s="1"/>
  <c r="I78" i="20"/>
  <c r="I77" i="20" s="1"/>
  <c r="H78" i="20"/>
  <c r="H77" i="20" s="1"/>
  <c r="I75" i="20"/>
  <c r="I74" i="20" s="1"/>
  <c r="H75" i="20"/>
  <c r="H74" i="20" s="1"/>
  <c r="G75" i="20"/>
  <c r="G74" i="20" s="1"/>
  <c r="I72" i="20"/>
  <c r="I71" i="20" s="1"/>
  <c r="H72" i="20"/>
  <c r="H71" i="20" s="1"/>
  <c r="G72" i="20"/>
  <c r="G71" i="20" s="1"/>
  <c r="H70" i="20"/>
  <c r="H69" i="20" s="1"/>
  <c r="H68" i="20" s="1"/>
  <c r="G70" i="20"/>
  <c r="G69" i="20" s="1"/>
  <c r="G68" i="20" s="1"/>
  <c r="I69" i="20"/>
  <c r="I68" i="20" s="1"/>
  <c r="H67" i="20"/>
  <c r="H66" i="20" s="1"/>
  <c r="H65" i="20" s="1"/>
  <c r="G67" i="20"/>
  <c r="G66" i="20" s="1"/>
  <c r="G65" i="20" s="1"/>
  <c r="I66" i="20"/>
  <c r="I65" i="20" s="1"/>
  <c r="I63" i="20"/>
  <c r="I62" i="20" s="1"/>
  <c r="H63" i="20"/>
  <c r="H62" i="20" s="1"/>
  <c r="G63" i="20"/>
  <c r="G62" i="20" s="1"/>
  <c r="I60" i="20"/>
  <c r="I59" i="20" s="1"/>
  <c r="H60" i="20"/>
  <c r="H59" i="20" s="1"/>
  <c r="G60" i="20"/>
  <c r="G59" i="20" s="1"/>
  <c r="G55" i="20"/>
  <c r="G54" i="20" s="1"/>
  <c r="G53" i="20" s="1"/>
  <c r="G52" i="20" s="1"/>
  <c r="G51" i="20" s="1"/>
  <c r="G50" i="20" s="1"/>
  <c r="I54" i="20"/>
  <c r="I53" i="20" s="1"/>
  <c r="I52" i="20" s="1"/>
  <c r="I51" i="20" s="1"/>
  <c r="I50" i="20" s="1"/>
  <c r="H54" i="20"/>
  <c r="H53" i="20" s="1"/>
  <c r="H52" i="20" s="1"/>
  <c r="H51" i="20" s="1"/>
  <c r="H50" i="20" s="1"/>
  <c r="I48" i="20"/>
  <c r="I47" i="20" s="1"/>
  <c r="I46" i="20" s="1"/>
  <c r="I45" i="20" s="1"/>
  <c r="I44" i="20" s="1"/>
  <c r="H48" i="20"/>
  <c r="H47" i="20" s="1"/>
  <c r="H46" i="20" s="1"/>
  <c r="H45" i="20" s="1"/>
  <c r="H44" i="20" s="1"/>
  <c r="G48" i="20"/>
  <c r="G47" i="20" s="1"/>
  <c r="G46" i="20" s="1"/>
  <c r="G45" i="20" s="1"/>
  <c r="G44" i="20" s="1"/>
  <c r="I42" i="20"/>
  <c r="I41" i="20" s="1"/>
  <c r="H42" i="20"/>
  <c r="H41" i="20" s="1"/>
  <c r="G42" i="20"/>
  <c r="G41" i="20" s="1"/>
  <c r="G40" i="20"/>
  <c r="G39" i="20" s="1"/>
  <c r="I39" i="20"/>
  <c r="H39" i="20"/>
  <c r="G38" i="20"/>
  <c r="G37" i="20" s="1"/>
  <c r="I37" i="20"/>
  <c r="H37" i="20"/>
  <c r="I35" i="20"/>
  <c r="I34" i="20" s="1"/>
  <c r="I33" i="20" s="1"/>
  <c r="H35" i="20"/>
  <c r="H34" i="20" s="1"/>
  <c r="H33" i="20" s="1"/>
  <c r="G35" i="20"/>
  <c r="G34" i="20"/>
  <c r="G33" i="20" s="1"/>
  <c r="I28" i="20"/>
  <c r="I27" i="20" s="1"/>
  <c r="I26" i="20" s="1"/>
  <c r="I25" i="20" s="1"/>
  <c r="I24" i="20" s="1"/>
  <c r="I23" i="20" s="1"/>
  <c r="H28" i="20"/>
  <c r="H27" i="20" s="1"/>
  <c r="H26" i="20" s="1"/>
  <c r="H25" i="20" s="1"/>
  <c r="H24" i="20" s="1"/>
  <c r="H23" i="20" s="1"/>
  <c r="G28" i="20"/>
  <c r="G27" i="20" s="1"/>
  <c r="G26" i="20" s="1"/>
  <c r="G25" i="20" s="1"/>
  <c r="G24" i="20" s="1"/>
  <c r="G23" i="20" s="1"/>
  <c r="C79" i="32"/>
  <c r="C71" i="32" s="1"/>
  <c r="C77" i="32"/>
  <c r="C76" i="32"/>
  <c r="E71" i="32"/>
  <c r="D71" i="32"/>
  <c r="C68" i="32"/>
  <c r="E67" i="32"/>
  <c r="D67" i="32"/>
  <c r="D62" i="32" s="1"/>
  <c r="D61" i="32" s="1"/>
  <c r="D48" i="32" s="1"/>
  <c r="C67" i="32"/>
  <c r="C66" i="32"/>
  <c r="C64" i="32"/>
  <c r="C63" i="32"/>
  <c r="C62" i="32" s="1"/>
  <c r="C61" i="32" s="1"/>
  <c r="E62" i="32"/>
  <c r="E61" i="32"/>
  <c r="D59" i="32"/>
  <c r="E58" i="32"/>
  <c r="E53" i="32" s="1"/>
  <c r="C58" i="32"/>
  <c r="D53" i="32"/>
  <c r="C53" i="32"/>
  <c r="C51" i="32"/>
  <c r="C49" i="32" s="1"/>
  <c r="C48" i="32" s="1"/>
  <c r="E50" i="32"/>
  <c r="D50" i="32"/>
  <c r="E49" i="32"/>
  <c r="D49" i="32"/>
  <c r="C47" i="32"/>
  <c r="C45" i="32"/>
  <c r="C44" i="32"/>
  <c r="C43" i="32" s="1"/>
  <c r="E43" i="32"/>
  <c r="D43" i="32"/>
  <c r="E40" i="32"/>
  <c r="D40" i="32"/>
  <c r="C40" i="32"/>
  <c r="C35" i="32"/>
  <c r="C34" i="32" s="1"/>
  <c r="E34" i="32"/>
  <c r="D34" i="32"/>
  <c r="E33" i="32"/>
  <c r="C33" i="32"/>
  <c r="E32" i="32"/>
  <c r="D32" i="32"/>
  <c r="C32" i="32"/>
  <c r="E31" i="32"/>
  <c r="E29" i="32" s="1"/>
  <c r="D31" i="32"/>
  <c r="C31" i="32"/>
  <c r="E30" i="32"/>
  <c r="D30" i="32"/>
  <c r="D29" i="32" s="1"/>
  <c r="C30" i="32"/>
  <c r="C29" i="32"/>
  <c r="E28" i="32"/>
  <c r="D28" i="32"/>
  <c r="E27" i="32"/>
  <c r="D27" i="32"/>
  <c r="D25" i="32" s="1"/>
  <c r="C27" i="32"/>
  <c r="E26" i="32"/>
  <c r="D26" i="32"/>
  <c r="C26" i="32"/>
  <c r="C25" i="32" s="1"/>
  <c r="E25" i="32"/>
  <c r="E23" i="32"/>
  <c r="E20" i="32" s="1"/>
  <c r="D23" i="32"/>
  <c r="C23" i="32"/>
  <c r="E22" i="32"/>
  <c r="D22" i="32"/>
  <c r="D21" i="32" s="1"/>
  <c r="C22" i="32"/>
  <c r="E21" i="32"/>
  <c r="C21" i="32"/>
  <c r="C20" i="32" s="1"/>
  <c r="C82" i="32" s="1"/>
  <c r="G454" i="31" l="1"/>
  <c r="G453" i="31" s="1"/>
  <c r="G452" i="31" s="1"/>
  <c r="H395" i="31"/>
  <c r="H394" i="31" s="1"/>
  <c r="H393" i="31" s="1"/>
  <c r="G804" i="31"/>
  <c r="G803" i="31" s="1"/>
  <c r="G802" i="31" s="1"/>
  <c r="H29" i="31"/>
  <c r="G60" i="31"/>
  <c r="H90" i="31"/>
  <c r="H89" i="31" s="1"/>
  <c r="H88" i="31" s="1"/>
  <c r="F723" i="31"/>
  <c r="F722" i="31" s="1"/>
  <c r="F721" i="31" s="1"/>
  <c r="G828" i="31"/>
  <c r="H893" i="31"/>
  <c r="H892" i="31" s="1"/>
  <c r="H891" i="31" s="1"/>
  <c r="H34" i="31"/>
  <c r="G388" i="31"/>
  <c r="G387" i="31" s="1"/>
  <c r="G386" i="31" s="1"/>
  <c r="G427" i="31"/>
  <c r="G426" i="31" s="1"/>
  <c r="G425" i="31" s="1"/>
  <c r="G839" i="31"/>
  <c r="H862" i="31"/>
  <c r="H861" i="31" s="1"/>
  <c r="H856" i="31" s="1"/>
  <c r="F862" i="31"/>
  <c r="F861" i="31" s="1"/>
  <c r="F940" i="31"/>
  <c r="F939" i="31" s="1"/>
  <c r="F938" i="31" s="1"/>
  <c r="F1003" i="31"/>
  <c r="F1002" i="31" s="1"/>
  <c r="F1001" i="31" s="1"/>
  <c r="H145" i="31"/>
  <c r="H144" i="31" s="1"/>
  <c r="H143" i="31" s="1"/>
  <c r="H118" i="31" s="1"/>
  <c r="G809" i="31"/>
  <c r="H880" i="31"/>
  <c r="H879" i="31" s="1"/>
  <c r="H878" i="31" s="1"/>
  <c r="H872" i="31" s="1"/>
  <c r="F904" i="31"/>
  <c r="F903" i="31" s="1"/>
  <c r="F898" i="31" s="1"/>
  <c r="H44" i="31"/>
  <c r="H873" i="31"/>
  <c r="F893" i="31"/>
  <c r="F892" i="31" s="1"/>
  <c r="F891" i="31" s="1"/>
  <c r="F887" i="31" s="1"/>
  <c r="F886" i="31" s="1"/>
  <c r="F885" i="31" s="1"/>
  <c r="G893" i="31"/>
  <c r="G892" i="31" s="1"/>
  <c r="G891" i="31" s="1"/>
  <c r="G887" i="31" s="1"/>
  <c r="G886" i="31" s="1"/>
  <c r="G885" i="31" s="1"/>
  <c r="G1066" i="31"/>
  <c r="H427" i="31"/>
  <c r="H426" i="31" s="1"/>
  <c r="H425" i="31" s="1"/>
  <c r="G795" i="31"/>
  <c r="G775" i="31" s="1"/>
  <c r="H917" i="31"/>
  <c r="H916" i="31" s="1"/>
  <c r="H915" i="31" s="1"/>
  <c r="H910" i="31" s="1"/>
  <c r="H909" i="31" s="1"/>
  <c r="F24" i="31"/>
  <c r="H54" i="31"/>
  <c r="H103" i="31"/>
  <c r="H102" i="31" s="1"/>
  <c r="H101" i="31" s="1"/>
  <c r="H95" i="31" s="1"/>
  <c r="H167" i="31"/>
  <c r="H166" i="31" s="1"/>
  <c r="H165" i="31" s="1"/>
  <c r="H164" i="31" s="1"/>
  <c r="H163" i="31" s="1"/>
  <c r="H226" i="31"/>
  <c r="H225" i="31" s="1"/>
  <c r="H224" i="31" s="1"/>
  <c r="F322" i="31"/>
  <c r="F292" i="31" s="1"/>
  <c r="H388" i="31"/>
  <c r="H387" i="31" s="1"/>
  <c r="H386" i="31" s="1"/>
  <c r="H656" i="31"/>
  <c r="H655" i="31" s="1"/>
  <c r="H654" i="31" s="1"/>
  <c r="H648" i="31" s="1"/>
  <c r="H647" i="31" s="1"/>
  <c r="G730" i="31"/>
  <c r="G729" i="31" s="1"/>
  <c r="G728" i="31" s="1"/>
  <c r="F795" i="31"/>
  <c r="F775" i="31" s="1"/>
  <c r="G862" i="31"/>
  <c r="G861" i="31" s="1"/>
  <c r="G856" i="31" s="1"/>
  <c r="G949" i="31"/>
  <c r="G948" i="31" s="1"/>
  <c r="G947" i="31" s="1"/>
  <c r="H1077" i="31"/>
  <c r="H585" i="31"/>
  <c r="H923" i="31"/>
  <c r="G167" i="31"/>
  <c r="G166" i="31" s="1"/>
  <c r="G165" i="31" s="1"/>
  <c r="G164" i="31" s="1"/>
  <c r="G163" i="31" s="1"/>
  <c r="F253" i="31"/>
  <c r="G395" i="31"/>
  <c r="G394" i="31" s="1"/>
  <c r="G393" i="31" s="1"/>
  <c r="F494" i="31"/>
  <c r="H625" i="31"/>
  <c r="H624" i="31" s="1"/>
  <c r="H623" i="31" s="1"/>
  <c r="H622" i="31" s="1"/>
  <c r="F828" i="31"/>
  <c r="F46" i="31"/>
  <c r="F45" i="31" s="1"/>
  <c r="H206" i="31"/>
  <c r="H205" i="31" s="1"/>
  <c r="F435" i="31"/>
  <c r="F434" i="31" s="1"/>
  <c r="F433" i="31" s="1"/>
  <c r="F427" i="31" s="1"/>
  <c r="F426" i="31" s="1"/>
  <c r="F425" i="31" s="1"/>
  <c r="H538" i="31"/>
  <c r="H537" i="31" s="1"/>
  <c r="H536" i="31" s="1"/>
  <c r="H530" i="31" s="1"/>
  <c r="H529" i="31" s="1"/>
  <c r="H528" i="31" s="1"/>
  <c r="F575" i="31"/>
  <c r="F574" i="31" s="1"/>
  <c r="F573" i="31" s="1"/>
  <c r="F572" i="31" s="1"/>
  <c r="G880" i="31"/>
  <c r="G879" i="31" s="1"/>
  <c r="G878" i="31" s="1"/>
  <c r="G917" i="31"/>
  <c r="G916" i="31" s="1"/>
  <c r="G915" i="31" s="1"/>
  <c r="G910" i="31" s="1"/>
  <c r="G909" i="31" s="1"/>
  <c r="H1066" i="31"/>
  <c r="F103" i="31"/>
  <c r="F102" i="31" s="1"/>
  <c r="F101" i="31" s="1"/>
  <c r="F95" i="31" s="1"/>
  <c r="H1003" i="31"/>
  <c r="H1002" i="31" s="1"/>
  <c r="H1001" i="31" s="1"/>
  <c r="H26" i="31"/>
  <c r="H25" i="31" s="1"/>
  <c r="F29" i="31"/>
  <c r="H39" i="31"/>
  <c r="G65" i="31"/>
  <c r="F226" i="31"/>
  <c r="F225" i="31" s="1"/>
  <c r="F224" i="31" s="1"/>
  <c r="F402" i="31"/>
  <c r="G441" i="31"/>
  <c r="H494" i="31"/>
  <c r="F873" i="31"/>
  <c r="F875" i="31"/>
  <c r="F874" i="31" s="1"/>
  <c r="G70" i="31"/>
  <c r="F145" i="31"/>
  <c r="F144" i="31" s="1"/>
  <c r="F143" i="31" s="1"/>
  <c r="F118" i="31" s="1"/>
  <c r="H253" i="31"/>
  <c r="H322" i="31"/>
  <c r="H369" i="31"/>
  <c r="H292" i="31" s="1"/>
  <c r="H371" i="31"/>
  <c r="H370" i="31" s="1"/>
  <c r="F454" i="31"/>
  <c r="F453" i="31" s="1"/>
  <c r="F452" i="31" s="1"/>
  <c r="F585" i="31"/>
  <c r="F880" i="31"/>
  <c r="F879" i="31" s="1"/>
  <c r="F878" i="31" s="1"/>
  <c r="G923" i="31"/>
  <c r="F206" i="31"/>
  <c r="F205" i="31" s="1"/>
  <c r="G538" i="31"/>
  <c r="G537" i="31" s="1"/>
  <c r="G536" i="31" s="1"/>
  <c r="G530" i="31" s="1"/>
  <c r="G529" i="31" s="1"/>
  <c r="G528" i="31" s="1"/>
  <c r="F663" i="31"/>
  <c r="F662" i="31" s="1"/>
  <c r="F661" i="31" s="1"/>
  <c r="F730" i="31"/>
  <c r="F729" i="31" s="1"/>
  <c r="F728" i="31" s="1"/>
  <c r="F917" i="31"/>
  <c r="F916" i="31" s="1"/>
  <c r="F915" i="31" s="1"/>
  <c r="F910" i="31" s="1"/>
  <c r="F909" i="31" s="1"/>
  <c r="G940" i="31"/>
  <c r="G939" i="31" s="1"/>
  <c r="G938" i="31" s="1"/>
  <c r="F949" i="31"/>
  <c r="F948" i="31" s="1"/>
  <c r="F947" i="31" s="1"/>
  <c r="H979" i="31"/>
  <c r="H978" i="31" s="1"/>
  <c r="H977" i="31" s="1"/>
  <c r="F1066" i="31"/>
  <c r="F1077" i="31"/>
  <c r="H1098" i="31"/>
  <c r="H82" i="31"/>
  <c r="G90" i="31"/>
  <c r="G89" i="31" s="1"/>
  <c r="G88" i="31" s="1"/>
  <c r="G82" i="31" s="1"/>
  <c r="G95" i="31"/>
  <c r="G145" i="31"/>
  <c r="G144" i="31" s="1"/>
  <c r="G143" i="31" s="1"/>
  <c r="G118" i="31" s="1"/>
  <c r="G206" i="31"/>
  <c r="G205" i="31" s="1"/>
  <c r="F379" i="31"/>
  <c r="F378" i="31" s="1"/>
  <c r="F377" i="31" s="1"/>
  <c r="F376" i="31" s="1"/>
  <c r="H379" i="31"/>
  <c r="H378" i="31" s="1"/>
  <c r="H377" i="31" s="1"/>
  <c r="H376" i="31" s="1"/>
  <c r="G402" i="31"/>
  <c r="H454" i="31"/>
  <c r="H453" i="31" s="1"/>
  <c r="H452" i="31" s="1"/>
  <c r="H441" i="31" s="1"/>
  <c r="F538" i="31"/>
  <c r="F537" i="31" s="1"/>
  <c r="F536" i="31" s="1"/>
  <c r="F556" i="31"/>
  <c r="H711" i="31"/>
  <c r="H710" i="31" s="1"/>
  <c r="H709" i="31" s="1"/>
  <c r="G711" i="31"/>
  <c r="G710" i="31" s="1"/>
  <c r="G709" i="31" s="1"/>
  <c r="G676" i="31" s="1"/>
  <c r="H809" i="31"/>
  <c r="F923" i="31"/>
  <c r="G1077" i="31"/>
  <c r="H575" i="31"/>
  <c r="H574" i="31" s="1"/>
  <c r="H573" i="31" s="1"/>
  <c r="H572" i="31" s="1"/>
  <c r="G575" i="31"/>
  <c r="G574" i="31" s="1"/>
  <c r="G573" i="31" s="1"/>
  <c r="G572" i="31" s="1"/>
  <c r="G625" i="31"/>
  <c r="G624" i="31" s="1"/>
  <c r="G623" i="31" s="1"/>
  <c r="G622" i="31" s="1"/>
  <c r="F656" i="31"/>
  <c r="F655" i="31" s="1"/>
  <c r="F654" i="31" s="1"/>
  <c r="F648" i="31" s="1"/>
  <c r="F647" i="31" s="1"/>
  <c r="F596" i="31" s="1"/>
  <c r="F543" i="31" s="1"/>
  <c r="G656" i="31"/>
  <c r="G655" i="31" s="1"/>
  <c r="G654" i="31" s="1"/>
  <c r="G648" i="31" s="1"/>
  <c r="G647" i="31" s="1"/>
  <c r="G663" i="31"/>
  <c r="G662" i="31" s="1"/>
  <c r="G661" i="31" s="1"/>
  <c r="H663" i="31"/>
  <c r="H662" i="31" s="1"/>
  <c r="H661" i="31" s="1"/>
  <c r="F694" i="31"/>
  <c r="F693" i="31" s="1"/>
  <c r="F692" i="31" s="1"/>
  <c r="H723" i="31"/>
  <c r="H722" i="31" s="1"/>
  <c r="H721" i="31" s="1"/>
  <c r="H795" i="31"/>
  <c r="H775" i="31" s="1"/>
  <c r="H828" i="31"/>
  <c r="H839" i="31"/>
  <c r="H888" i="31"/>
  <c r="H887" i="31" s="1"/>
  <c r="H886" i="31" s="1"/>
  <c r="H885" i="31" s="1"/>
  <c r="H949" i="31"/>
  <c r="H948" i="31" s="1"/>
  <c r="H947" i="31" s="1"/>
  <c r="G979" i="31"/>
  <c r="G978" i="31" s="1"/>
  <c r="G977" i="31" s="1"/>
  <c r="G1003" i="31"/>
  <c r="G1002" i="31" s="1"/>
  <c r="G1001" i="31" s="1"/>
  <c r="F753" i="21"/>
  <c r="F52" i="21"/>
  <c r="H72" i="21"/>
  <c r="H68" i="21" s="1"/>
  <c r="H67" i="21" s="1"/>
  <c r="F279" i="21"/>
  <c r="G290" i="21"/>
  <c r="H513" i="21"/>
  <c r="H512" i="21" s="1"/>
  <c r="H537" i="21"/>
  <c r="H533" i="21" s="1"/>
  <c r="H35" i="21"/>
  <c r="H31" i="21" s="1"/>
  <c r="H30" i="21" s="1"/>
  <c r="H29" i="21" s="1"/>
  <c r="G256" i="21"/>
  <c r="G255" i="21" s="1"/>
  <c r="G245" i="21" s="1"/>
  <c r="G244" i="21" s="1"/>
  <c r="G83" i="21"/>
  <c r="G79" i="21" s="1"/>
  <c r="G78" i="21" s="1"/>
  <c r="G77" i="21" s="1"/>
  <c r="H688" i="21"/>
  <c r="H681" i="21" s="1"/>
  <c r="H219" i="21"/>
  <c r="H218" i="21" s="1"/>
  <c r="H217" i="21" s="1"/>
  <c r="G372" i="21"/>
  <c r="G371" i="21" s="1"/>
  <c r="G358" i="21" s="1"/>
  <c r="G357" i="21" s="1"/>
  <c r="G522" i="21"/>
  <c r="G521" i="21" s="1"/>
  <c r="F627" i="21"/>
  <c r="G159" i="21"/>
  <c r="F187" i="21"/>
  <c r="F186" i="21" s="1"/>
  <c r="F185" i="21" s="1"/>
  <c r="H187" i="21"/>
  <c r="H186" i="21" s="1"/>
  <c r="H185" i="21" s="1"/>
  <c r="H290" i="21"/>
  <c r="H278" i="21" s="1"/>
  <c r="H277" i="21" s="1"/>
  <c r="H276" i="21" s="1"/>
  <c r="F347" i="21"/>
  <c r="H372" i="21"/>
  <c r="H371" i="21" s="1"/>
  <c r="F372" i="21"/>
  <c r="F371" i="21" s="1"/>
  <c r="F358" i="21" s="1"/>
  <c r="F357" i="21" s="1"/>
  <c r="F387" i="21"/>
  <c r="G394" i="21"/>
  <c r="F427" i="21"/>
  <c r="H498" i="21"/>
  <c r="F505" i="21"/>
  <c r="F543" i="21"/>
  <c r="F542" i="21" s="1"/>
  <c r="F532" i="21" s="1"/>
  <c r="F531" i="21" s="1"/>
  <c r="G688" i="21"/>
  <c r="G681" i="21" s="1"/>
  <c r="G781" i="21"/>
  <c r="G771" i="21" s="1"/>
  <c r="G804" i="21"/>
  <c r="G803" i="21" s="1"/>
  <c r="G99" i="21"/>
  <c r="G226" i="21"/>
  <c r="F295" i="21"/>
  <c r="G491" i="21"/>
  <c r="G490" i="21" s="1"/>
  <c r="F577" i="21"/>
  <c r="F576" i="21" s="1"/>
  <c r="F575" i="21" s="1"/>
  <c r="H672" i="21"/>
  <c r="H671" i="21" s="1"/>
  <c r="H670" i="21" s="1"/>
  <c r="G708" i="21"/>
  <c r="G701" i="21" s="1"/>
  <c r="G35" i="21"/>
  <c r="G31" i="21" s="1"/>
  <c r="G30" i="21" s="1"/>
  <c r="G29" i="21" s="1"/>
  <c r="G72" i="21"/>
  <c r="G68" i="21" s="1"/>
  <c r="G67" i="21" s="1"/>
  <c r="H83" i="21"/>
  <c r="G187" i="21"/>
  <c r="G186" i="21" s="1"/>
  <c r="G185" i="21" s="1"/>
  <c r="F219" i="21"/>
  <c r="F218" i="21" s="1"/>
  <c r="F217" i="21" s="1"/>
  <c r="G347" i="21"/>
  <c r="G459" i="21"/>
  <c r="G455" i="21" s="1"/>
  <c r="H491" i="21"/>
  <c r="H490" i="21" s="1"/>
  <c r="G537" i="21"/>
  <c r="G533" i="21" s="1"/>
  <c r="F688" i="21"/>
  <c r="H708" i="21"/>
  <c r="H701" i="21" s="1"/>
  <c r="G852" i="21"/>
  <c r="G851" i="21" s="1"/>
  <c r="G850" i="21" s="1"/>
  <c r="H121" i="21"/>
  <c r="G52" i="21"/>
  <c r="G48" i="21" s="1"/>
  <c r="G47" i="21" s="1"/>
  <c r="G40" i="21" s="1"/>
  <c r="H202" i="21"/>
  <c r="H201" i="21" s="1"/>
  <c r="H197" i="21" s="1"/>
  <c r="H196" i="21" s="1"/>
  <c r="H195" i="21" s="1"/>
  <c r="H194" i="21" s="1"/>
  <c r="G219" i="21"/>
  <c r="G218" i="21" s="1"/>
  <c r="G217" i="21" s="1"/>
  <c r="G216" i="21" s="1"/>
  <c r="F410" i="21"/>
  <c r="G417" i="21"/>
  <c r="F426" i="21"/>
  <c r="F439" i="21"/>
  <c r="F438" i="21" s="1"/>
  <c r="G543" i="21"/>
  <c r="G542" i="21" s="1"/>
  <c r="G555" i="21"/>
  <c r="G551" i="21" s="1"/>
  <c r="G550" i="21" s="1"/>
  <c r="F708" i="21"/>
  <c r="F701" i="21" s="1"/>
  <c r="F766" i="21"/>
  <c r="F762" i="21" s="1"/>
  <c r="F761" i="21" s="1"/>
  <c r="F760" i="21" s="1"/>
  <c r="H840" i="21"/>
  <c r="H839" i="21" s="1"/>
  <c r="H838" i="21" s="1"/>
  <c r="F857" i="21"/>
  <c r="F852" i="21" s="1"/>
  <c r="F851" i="21" s="1"/>
  <c r="F850" i="21" s="1"/>
  <c r="H136" i="21"/>
  <c r="F417" i="21"/>
  <c r="F739" i="21"/>
  <c r="F734" i="21" s="1"/>
  <c r="H159" i="21"/>
  <c r="F290" i="21"/>
  <c r="G410" i="21"/>
  <c r="H79" i="21"/>
  <c r="H78" i="21" s="1"/>
  <c r="H77" i="21" s="1"/>
  <c r="H226" i="21"/>
  <c r="H256" i="21"/>
  <c r="H255" i="21" s="1"/>
  <c r="H245" i="21" s="1"/>
  <c r="H244" i="21" s="1"/>
  <c r="H323" i="21"/>
  <c r="H387" i="21"/>
  <c r="G505" i="21"/>
  <c r="F522" i="21"/>
  <c r="F521" i="21" s="1"/>
  <c r="G615" i="21"/>
  <c r="H753" i="21"/>
  <c r="F136" i="21"/>
  <c r="H99" i="21"/>
  <c r="F35" i="21"/>
  <c r="F31" i="21" s="1"/>
  <c r="F30" i="21" s="1"/>
  <c r="F29" i="21" s="1"/>
  <c r="H52" i="21"/>
  <c r="H48" i="21" s="1"/>
  <c r="H47" i="21" s="1"/>
  <c r="H40" i="21" s="1"/>
  <c r="F83" i="21"/>
  <c r="F79" i="21" s="1"/>
  <c r="F78" i="21" s="1"/>
  <c r="F77" i="21" s="1"/>
  <c r="F66" i="21" s="1"/>
  <c r="F99" i="21"/>
  <c r="G121" i="21"/>
  <c r="G202" i="21"/>
  <c r="G201" i="21" s="1"/>
  <c r="F323" i="21"/>
  <c r="G387" i="21"/>
  <c r="G382" i="21" s="1"/>
  <c r="G381" i="21" s="1"/>
  <c r="G465" i="21"/>
  <c r="H505" i="21"/>
  <c r="H522" i="21"/>
  <c r="H521" i="21" s="1"/>
  <c r="H543" i="21"/>
  <c r="H542" i="21" s="1"/>
  <c r="H555" i="21"/>
  <c r="H551" i="21" s="1"/>
  <c r="H550" i="21" s="1"/>
  <c r="H658" i="21"/>
  <c r="F681" i="21"/>
  <c r="H739" i="21"/>
  <c r="H734" i="21" s="1"/>
  <c r="G753" i="21"/>
  <c r="F840" i="21"/>
  <c r="F839" i="21" s="1"/>
  <c r="G152" i="21"/>
  <c r="H152" i="21"/>
  <c r="G323" i="21"/>
  <c r="H427" i="21"/>
  <c r="H426" i="21" s="1"/>
  <c r="H425" i="21" s="1"/>
  <c r="F465" i="21"/>
  <c r="F491" i="21"/>
  <c r="F490" i="21" s="1"/>
  <c r="F498" i="21"/>
  <c r="G513" i="21"/>
  <c r="G512" i="21" s="1"/>
  <c r="H577" i="21"/>
  <c r="H576" i="21" s="1"/>
  <c r="H575" i="21" s="1"/>
  <c r="F615" i="21"/>
  <c r="F640" i="21"/>
  <c r="F651" i="21"/>
  <c r="F650" i="21" s="1"/>
  <c r="H651" i="21"/>
  <c r="H650" i="21" s="1"/>
  <c r="F663" i="21"/>
  <c r="F672" i="21"/>
  <c r="F671" i="21" s="1"/>
  <c r="F670" i="21" s="1"/>
  <c r="F237" i="21"/>
  <c r="F236" i="21" s="1"/>
  <c r="F235" i="21" s="1"/>
  <c r="G237" i="21"/>
  <c r="G236" i="21" s="1"/>
  <c r="G235" i="21" s="1"/>
  <c r="H237" i="21"/>
  <c r="H236" i="21" s="1"/>
  <c r="H235" i="21" s="1"/>
  <c r="F256" i="21"/>
  <c r="F255" i="21" s="1"/>
  <c r="F245" i="21" s="1"/>
  <c r="F244" i="21" s="1"/>
  <c r="G278" i="21"/>
  <c r="G277" i="21" s="1"/>
  <c r="G276" i="21" s="1"/>
  <c r="H347" i="21"/>
  <c r="H410" i="21"/>
  <c r="H417" i="21"/>
  <c r="H663" i="21"/>
  <c r="G672" i="21"/>
  <c r="G671" i="21" s="1"/>
  <c r="G670" i="21" s="1"/>
  <c r="G739" i="21"/>
  <c r="G734" i="21" s="1"/>
  <c r="G766" i="21"/>
  <c r="G762" i="21" s="1"/>
  <c r="G761" i="21" s="1"/>
  <c r="G760" i="21" s="1"/>
  <c r="H766" i="21"/>
  <c r="H762" i="21" s="1"/>
  <c r="H761" i="21" s="1"/>
  <c r="H760" i="21" s="1"/>
  <c r="F804" i="21"/>
  <c r="F803" i="21" s="1"/>
  <c r="I592" i="20"/>
  <c r="I591" i="20" s="1"/>
  <c r="I590" i="20" s="1"/>
  <c r="G592" i="20"/>
  <c r="G591" i="20" s="1"/>
  <c r="G590" i="20" s="1"/>
  <c r="H1052" i="20"/>
  <c r="H1051" i="20" s="1"/>
  <c r="H1050" i="20" s="1"/>
  <c r="G1121" i="20"/>
  <c r="G1120" i="20" s="1"/>
  <c r="G1119" i="20" s="1"/>
  <c r="H900" i="20"/>
  <c r="H899" i="20" s="1"/>
  <c r="H898" i="20" s="1"/>
  <c r="H824" i="20"/>
  <c r="H834" i="20"/>
  <c r="H833" i="20" s="1"/>
  <c r="G386" i="20"/>
  <c r="I391" i="20"/>
  <c r="G642" i="20"/>
  <c r="G641" i="20" s="1"/>
  <c r="I433" i="20"/>
  <c r="I426" i="20" s="1"/>
  <c r="I484" i="20"/>
  <c r="H576" i="20"/>
  <c r="H575" i="20" s="1"/>
  <c r="H574" i="20" s="1"/>
  <c r="G580" i="20"/>
  <c r="G636" i="20"/>
  <c r="G632" i="20" s="1"/>
  <c r="G631" i="20" s="1"/>
  <c r="I1052" i="20"/>
  <c r="I1051" i="20" s="1"/>
  <c r="I1050" i="20" s="1"/>
  <c r="I95" i="20"/>
  <c r="I884" i="20"/>
  <c r="I883" i="20" s="1"/>
  <c r="H1114" i="20"/>
  <c r="H1110" i="20" s="1"/>
  <c r="H1109" i="20" s="1"/>
  <c r="H1108" i="20" s="1"/>
  <c r="I1121" i="20"/>
  <c r="I1120" i="20" s="1"/>
  <c r="I1119" i="20" s="1"/>
  <c r="H1136" i="20"/>
  <c r="H242" i="20"/>
  <c r="H241" i="20" s="1"/>
  <c r="H240" i="20" s="1"/>
  <c r="H503" i="20"/>
  <c r="H499" i="20" s="1"/>
  <c r="H498" i="20" s="1"/>
  <c r="H497" i="20" s="1"/>
  <c r="H496" i="20" s="1"/>
  <c r="H495" i="20" s="1"/>
  <c r="H494" i="20" s="1"/>
  <c r="I576" i="20"/>
  <c r="I575" i="20" s="1"/>
  <c r="I574" i="20" s="1"/>
  <c r="H702" i="20"/>
  <c r="H748" i="20"/>
  <c r="H747" i="20" s="1"/>
  <c r="H746" i="20" s="1"/>
  <c r="G878" i="20"/>
  <c r="G874" i="20" s="1"/>
  <c r="G884" i="20"/>
  <c r="G883" i="20" s="1"/>
  <c r="I1136" i="20"/>
  <c r="G246" i="20"/>
  <c r="G242" i="20" s="1"/>
  <c r="G241" i="20" s="1"/>
  <c r="G240" i="20" s="1"/>
  <c r="G239" i="20" s="1"/>
  <c r="G238" i="20" s="1"/>
  <c r="H672" i="20"/>
  <c r="I1020" i="20"/>
  <c r="I1066" i="20"/>
  <c r="I36" i="20"/>
  <c r="I282" i="20"/>
  <c r="I278" i="20" s="1"/>
  <c r="I277" i="20" s="1"/>
  <c r="I276" i="20" s="1"/>
  <c r="I275" i="20" s="1"/>
  <c r="I274" i="20" s="1"/>
  <c r="H362" i="20"/>
  <c r="H358" i="20" s="1"/>
  <c r="H357" i="20" s="1"/>
  <c r="H356" i="20" s="1"/>
  <c r="G362" i="20"/>
  <c r="G407" i="20"/>
  <c r="G406" i="20" s="1"/>
  <c r="G405" i="20" s="1"/>
  <c r="H665" i="20"/>
  <c r="H664" i="20" s="1"/>
  <c r="H663" i="20" s="1"/>
  <c r="I824" i="20"/>
  <c r="G932" i="20"/>
  <c r="G1056" i="20"/>
  <c r="G1052" i="20" s="1"/>
  <c r="G1051" i="20" s="1"/>
  <c r="G1050" i="20" s="1"/>
  <c r="H320" i="20"/>
  <c r="H319" i="20" s="1"/>
  <c r="I480" i="20"/>
  <c r="I479" i="20" s="1"/>
  <c r="I478" i="20" s="1"/>
  <c r="I477" i="20" s="1"/>
  <c r="H689" i="20"/>
  <c r="G689" i="20"/>
  <c r="G679" i="20" s="1"/>
  <c r="G678" i="20" s="1"/>
  <c r="G677" i="20" s="1"/>
  <c r="H884" i="20"/>
  <c r="H883" i="20" s="1"/>
  <c r="G928" i="20"/>
  <c r="G927" i="20" s="1"/>
  <c r="G926" i="20" s="1"/>
  <c r="G925" i="20" s="1"/>
  <c r="G924" i="20" s="1"/>
  <c r="I702" i="20"/>
  <c r="H1020" i="20"/>
  <c r="H1038" i="20"/>
  <c r="H1121" i="20"/>
  <c r="H1120" i="20" s="1"/>
  <c r="H1119" i="20" s="1"/>
  <c r="C21" i="14"/>
  <c r="E27" i="14"/>
  <c r="D21" i="14"/>
  <c r="E37" i="14"/>
  <c r="E21" i="14" s="1"/>
  <c r="H22" i="33"/>
  <c r="H27" i="33"/>
  <c r="H21" i="33" s="1"/>
  <c r="F27" i="33"/>
  <c r="F22" i="33"/>
  <c r="F21" i="33" s="1"/>
  <c r="G29" i="31"/>
  <c r="G31" i="31"/>
  <c r="G30" i="31" s="1"/>
  <c r="F39" i="31"/>
  <c r="F41" i="31"/>
  <c r="F40" i="31" s="1"/>
  <c r="F54" i="31"/>
  <c r="F56" i="31"/>
  <c r="F55" i="31" s="1"/>
  <c r="F59" i="31"/>
  <c r="F167" i="31"/>
  <c r="F166" i="31" s="1"/>
  <c r="F165" i="31" s="1"/>
  <c r="F164" i="31" s="1"/>
  <c r="F163" i="31" s="1"/>
  <c r="G226" i="31"/>
  <c r="G225" i="31" s="1"/>
  <c r="G224" i="31" s="1"/>
  <c r="G253" i="31"/>
  <c r="F441" i="31"/>
  <c r="G24" i="31"/>
  <c r="G26" i="31"/>
  <c r="G25" i="31" s="1"/>
  <c r="F34" i="31"/>
  <c r="F36" i="31"/>
  <c r="F35" i="31" s="1"/>
  <c r="F90" i="31"/>
  <c r="F89" i="31" s="1"/>
  <c r="F88" i="31" s="1"/>
  <c r="F82" i="31" s="1"/>
  <c r="G322" i="31"/>
  <c r="G292" i="31" s="1"/>
  <c r="G36" i="31"/>
  <c r="G35" i="31" s="1"/>
  <c r="G39" i="31"/>
  <c r="G46" i="31"/>
  <c r="G45" i="31" s="1"/>
  <c r="G51" i="31"/>
  <c r="G50" i="31" s="1"/>
  <c r="G56" i="31"/>
  <c r="G55" i="31" s="1"/>
  <c r="H60" i="31"/>
  <c r="F62" i="31"/>
  <c r="F61" i="31" s="1"/>
  <c r="H65" i="31"/>
  <c r="F67" i="31"/>
  <c r="F66" i="31" s="1"/>
  <c r="H70" i="31"/>
  <c r="F72" i="31"/>
  <c r="F71" i="31" s="1"/>
  <c r="F388" i="31"/>
  <c r="F387" i="31" s="1"/>
  <c r="F386" i="31" s="1"/>
  <c r="H402" i="31"/>
  <c r="G379" i="31"/>
  <c r="G378" i="31" s="1"/>
  <c r="G377" i="31" s="1"/>
  <c r="G376" i="31" s="1"/>
  <c r="F395" i="31"/>
  <c r="F394" i="31" s="1"/>
  <c r="F393" i="31" s="1"/>
  <c r="F530" i="31"/>
  <c r="F529" i="31" s="1"/>
  <c r="F528" i="31" s="1"/>
  <c r="H556" i="31"/>
  <c r="G556" i="31"/>
  <c r="G518" i="31"/>
  <c r="G494" i="31" s="1"/>
  <c r="G585" i="31"/>
  <c r="F711" i="31"/>
  <c r="F710" i="31" s="1"/>
  <c r="F709" i="31" s="1"/>
  <c r="F809" i="31"/>
  <c r="F839" i="31"/>
  <c r="G875" i="31"/>
  <c r="G874" i="31" s="1"/>
  <c r="G873" i="31"/>
  <c r="G1098" i="31"/>
  <c r="H520" i="31"/>
  <c r="H519" i="31" s="1"/>
  <c r="F856" i="31"/>
  <c r="H904" i="31"/>
  <c r="H903" i="31" s="1"/>
  <c r="H898" i="31" s="1"/>
  <c r="F1098" i="31"/>
  <c r="F979" i="31"/>
  <c r="F978" i="31" s="1"/>
  <c r="F977" i="31" s="1"/>
  <c r="F48" i="21"/>
  <c r="F47" i="21" s="1"/>
  <c r="F40" i="21" s="1"/>
  <c r="F121" i="21"/>
  <c r="G136" i="21"/>
  <c r="F152" i="21"/>
  <c r="F151" i="21" s="1"/>
  <c r="F202" i="21"/>
  <c r="F201" i="21" s="1"/>
  <c r="F197" i="21" s="1"/>
  <c r="F196" i="21" s="1"/>
  <c r="F195" i="21" s="1"/>
  <c r="F194" i="21" s="1"/>
  <c r="F230" i="21"/>
  <c r="F226" i="21" s="1"/>
  <c r="G439" i="21"/>
  <c r="G438" i="21" s="1"/>
  <c r="F394" i="21"/>
  <c r="H459" i="21"/>
  <c r="H455" i="21" s="1"/>
  <c r="G197" i="21"/>
  <c r="G196" i="21" s="1"/>
  <c r="G195" i="21" s="1"/>
  <c r="G194" i="21" s="1"/>
  <c r="H358" i="21"/>
  <c r="H357" i="21" s="1"/>
  <c r="H394" i="21"/>
  <c r="G427" i="21"/>
  <c r="G426" i="21" s="1"/>
  <c r="F555" i="21"/>
  <c r="F551" i="21" s="1"/>
  <c r="F550" i="21" s="1"/>
  <c r="H566" i="21"/>
  <c r="H565" i="21" s="1"/>
  <c r="H564" i="21" s="1"/>
  <c r="G577" i="21"/>
  <c r="G576" i="21" s="1"/>
  <c r="G575" i="21" s="1"/>
  <c r="G627" i="21"/>
  <c r="F658" i="21"/>
  <c r="H465" i="21"/>
  <c r="H615" i="21"/>
  <c r="G640" i="21"/>
  <c r="G498" i="21"/>
  <c r="G651" i="21"/>
  <c r="G650" i="21" s="1"/>
  <c r="G649" i="21" s="1"/>
  <c r="F813" i="21"/>
  <c r="F812" i="21" s="1"/>
  <c r="H813" i="21"/>
  <c r="H812" i="21" s="1"/>
  <c r="G840" i="21"/>
  <c r="G839" i="21" s="1"/>
  <c r="H771" i="21"/>
  <c r="H804" i="21"/>
  <c r="H803" i="21" s="1"/>
  <c r="G813" i="21"/>
  <c r="G812" i="21" s="1"/>
  <c r="F781" i="21"/>
  <c r="F771" i="21" s="1"/>
  <c r="G213" i="20"/>
  <c r="G212" i="20" s="1"/>
  <c r="I386" i="20"/>
  <c r="H111" i="20"/>
  <c r="I195" i="20"/>
  <c r="I194" i="20" s="1"/>
  <c r="I178" i="20" s="1"/>
  <c r="I177" i="20" s="1"/>
  <c r="I362" i="20"/>
  <c r="I358" i="20" s="1"/>
  <c r="I357" i="20" s="1"/>
  <c r="I356" i="20" s="1"/>
  <c r="G391" i="20"/>
  <c r="G523" i="20"/>
  <c r="G522" i="20" s="1"/>
  <c r="G521" i="20" s="1"/>
  <c r="G520" i="20" s="1"/>
  <c r="I523" i="20"/>
  <c r="I522" i="20" s="1"/>
  <c r="I521" i="20" s="1"/>
  <c r="I520" i="20" s="1"/>
  <c r="I537" i="20"/>
  <c r="H562" i="20"/>
  <c r="I606" i="20"/>
  <c r="I672" i="20"/>
  <c r="I665" i="20" s="1"/>
  <c r="I664" i="20" s="1"/>
  <c r="I663" i="20" s="1"/>
  <c r="H679" i="20"/>
  <c r="H678" i="20" s="1"/>
  <c r="H677" i="20" s="1"/>
  <c r="I878" i="20"/>
  <c r="I874" i="20" s="1"/>
  <c r="I873" i="20" s="1"/>
  <c r="I872" i="20" s="1"/>
  <c r="I871" i="20" s="1"/>
  <c r="G1038" i="20"/>
  <c r="H537" i="20"/>
  <c r="I111" i="20"/>
  <c r="I242" i="20"/>
  <c r="I241" i="20" s="1"/>
  <c r="I240" i="20" s="1"/>
  <c r="I239" i="20" s="1"/>
  <c r="I238" i="20" s="1"/>
  <c r="G612" i="20"/>
  <c r="G611" i="20" s="1"/>
  <c r="I655" i="20"/>
  <c r="I651" i="20" s="1"/>
  <c r="I650" i="20" s="1"/>
  <c r="I649" i="20" s="1"/>
  <c r="G665" i="20"/>
  <c r="G664" i="20" s="1"/>
  <c r="G663" i="20" s="1"/>
  <c r="I679" i="20"/>
  <c r="I678" i="20" s="1"/>
  <c r="I677" i="20" s="1"/>
  <c r="I698" i="20"/>
  <c r="I697" i="20" s="1"/>
  <c r="I696" i="20" s="1"/>
  <c r="I695" i="20" s="1"/>
  <c r="I694" i="20" s="1"/>
  <c r="H738" i="20"/>
  <c r="H734" i="20" s="1"/>
  <c r="H733" i="20" s="1"/>
  <c r="H732" i="20" s="1"/>
  <c r="I748" i="20"/>
  <c r="I747" i="20" s="1"/>
  <c r="I746" i="20" s="1"/>
  <c r="I781" i="20"/>
  <c r="I780" i="20" s="1"/>
  <c r="I779" i="20" s="1"/>
  <c r="I778" i="20" s="1"/>
  <c r="G834" i="20"/>
  <c r="G833" i="20" s="1"/>
  <c r="I846" i="20"/>
  <c r="I845" i="20" s="1"/>
  <c r="G864" i="20"/>
  <c r="G863" i="20" s="1"/>
  <c r="G862" i="20" s="1"/>
  <c r="I864" i="20"/>
  <c r="I863" i="20" s="1"/>
  <c r="I862" i="20" s="1"/>
  <c r="G963" i="20"/>
  <c r="G962" i="20" s="1"/>
  <c r="G1022" i="20"/>
  <c r="G1021" i="20" s="1"/>
  <c r="G1020" i="20" s="1"/>
  <c r="G149" i="20"/>
  <c r="G148" i="20" s="1"/>
  <c r="G144" i="20" s="1"/>
  <c r="G143" i="20" s="1"/>
  <c r="G142" i="20" s="1"/>
  <c r="G141" i="20" s="1"/>
  <c r="H337" i="20"/>
  <c r="H332" i="20" s="1"/>
  <c r="H331" i="20" s="1"/>
  <c r="H330" i="20" s="1"/>
  <c r="H624" i="20"/>
  <c r="H623" i="20" s="1"/>
  <c r="I80" i="20"/>
  <c r="G118" i="20"/>
  <c r="G282" i="20"/>
  <c r="G375" i="20"/>
  <c r="I503" i="20"/>
  <c r="I499" i="20" s="1"/>
  <c r="I498" i="20" s="1"/>
  <c r="I497" i="20" s="1"/>
  <c r="I496" i="20" s="1"/>
  <c r="I495" i="20" s="1"/>
  <c r="I494" i="20" s="1"/>
  <c r="H655" i="20"/>
  <c r="H651" i="20" s="1"/>
  <c r="H650" i="20" s="1"/>
  <c r="H649" i="20" s="1"/>
  <c r="I738" i="20"/>
  <c r="I734" i="20" s="1"/>
  <c r="I733" i="20" s="1"/>
  <c r="I732" i="20" s="1"/>
  <c r="H781" i="20"/>
  <c r="H780" i="20" s="1"/>
  <c r="H779" i="20" s="1"/>
  <c r="H778" i="20" s="1"/>
  <c r="H777" i="20" s="1"/>
  <c r="H801" i="20"/>
  <c r="I834" i="20"/>
  <c r="H846" i="20"/>
  <c r="H845" i="20" s="1"/>
  <c r="I928" i="20"/>
  <c r="I927" i="20" s="1"/>
  <c r="I926" i="20" s="1"/>
  <c r="I925" i="20" s="1"/>
  <c r="I924" i="20" s="1"/>
  <c r="G974" i="20"/>
  <c r="G973" i="20" s="1"/>
  <c r="G982" i="20"/>
  <c r="G981" i="20" s="1"/>
  <c r="H1043" i="20"/>
  <c r="H1069" i="20"/>
  <c r="H1068" i="20" s="1"/>
  <c r="H1067" i="20" s="1"/>
  <c r="H1066" i="20" s="1"/>
  <c r="I158" i="20"/>
  <c r="G111" i="20"/>
  <c r="G1043" i="20"/>
  <c r="I149" i="20"/>
  <c r="I148" i="20" s="1"/>
  <c r="I144" i="20" s="1"/>
  <c r="I143" i="20" s="1"/>
  <c r="I142" i="20" s="1"/>
  <c r="I141" i="20" s="1"/>
  <c r="G158" i="20"/>
  <c r="G576" i="20"/>
  <c r="G575" i="20" s="1"/>
  <c r="G574" i="20" s="1"/>
  <c r="H213" i="20"/>
  <c r="H212" i="20" s="1"/>
  <c r="H207" i="20" s="1"/>
  <c r="H200" i="20" s="1"/>
  <c r="G464" i="20"/>
  <c r="G459" i="20" s="1"/>
  <c r="I118" i="20"/>
  <c r="H282" i="20"/>
  <c r="H278" i="20" s="1"/>
  <c r="H277" i="20" s="1"/>
  <c r="H276" i="20" s="1"/>
  <c r="H275" i="20" s="1"/>
  <c r="H274" i="20" s="1"/>
  <c r="G484" i="20"/>
  <c r="G480" i="20" s="1"/>
  <c r="G479" i="20" s="1"/>
  <c r="G478" i="20" s="1"/>
  <c r="G477" i="20" s="1"/>
  <c r="H642" i="20"/>
  <c r="H641" i="20" s="1"/>
  <c r="H36" i="20"/>
  <c r="H32" i="20" s="1"/>
  <c r="H31" i="20" s="1"/>
  <c r="H30" i="20" s="1"/>
  <c r="G207" i="20"/>
  <c r="G200" i="20" s="1"/>
  <c r="I407" i="20"/>
  <c r="I406" i="20" s="1"/>
  <c r="I405" i="20" s="1"/>
  <c r="G433" i="20"/>
  <c r="G426" i="20" s="1"/>
  <c r="H464" i="20"/>
  <c r="H459" i="20" s="1"/>
  <c r="G503" i="20"/>
  <c r="G499" i="20" s="1"/>
  <c r="G498" i="20" s="1"/>
  <c r="G497" i="20" s="1"/>
  <c r="G496" i="20" s="1"/>
  <c r="G495" i="20" s="1"/>
  <c r="G494" i="20" s="1"/>
  <c r="H523" i="20"/>
  <c r="H522" i="20" s="1"/>
  <c r="H521" i="20" s="1"/>
  <c r="H520" i="20" s="1"/>
  <c r="H606" i="20"/>
  <c r="G801" i="20"/>
  <c r="I808" i="20"/>
  <c r="I968" i="20"/>
  <c r="I967" i="20" s="1"/>
  <c r="I966" i="20" s="1"/>
  <c r="I1114" i="20"/>
  <c r="I1110" i="20" s="1"/>
  <c r="I1109" i="20" s="1"/>
  <c r="I1108" i="20" s="1"/>
  <c r="G80" i="20"/>
  <c r="G748" i="20"/>
  <c r="G747" i="20" s="1"/>
  <c r="G746" i="20" s="1"/>
  <c r="I213" i="20"/>
  <c r="I212" i="20" s="1"/>
  <c r="I207" i="20" s="1"/>
  <c r="I200" i="20" s="1"/>
  <c r="G358" i="20"/>
  <c r="G357" i="20" s="1"/>
  <c r="G356" i="20" s="1"/>
  <c r="H932" i="20"/>
  <c r="H928" i="20" s="1"/>
  <c r="H927" i="20" s="1"/>
  <c r="H926" i="20" s="1"/>
  <c r="H925" i="20" s="1"/>
  <c r="H924" i="20" s="1"/>
  <c r="G58" i="20"/>
  <c r="H80" i="20"/>
  <c r="H95" i="20"/>
  <c r="H158" i="20"/>
  <c r="H195" i="20"/>
  <c r="H194" i="20" s="1"/>
  <c r="H178" i="20" s="1"/>
  <c r="H177" i="20" s="1"/>
  <c r="G278" i="20"/>
  <c r="G277" i="20" s="1"/>
  <c r="G276" i="20" s="1"/>
  <c r="G275" i="20" s="1"/>
  <c r="G274" i="20" s="1"/>
  <c r="G562" i="20"/>
  <c r="I636" i="20"/>
  <c r="I632" i="20" s="1"/>
  <c r="I631" i="20" s="1"/>
  <c r="I642" i="20"/>
  <c r="I641" i="20" s="1"/>
  <c r="H808" i="20"/>
  <c r="H897" i="20"/>
  <c r="H896" i="20" s="1"/>
  <c r="G904" i="20"/>
  <c r="G900" i="20" s="1"/>
  <c r="G899" i="20" s="1"/>
  <c r="G898" i="20" s="1"/>
  <c r="G897" i="20" s="1"/>
  <c r="G896" i="20" s="1"/>
  <c r="G1031" i="20"/>
  <c r="G1030" i="20" s="1"/>
  <c r="H1031" i="20"/>
  <c r="H1030" i="20" s="1"/>
  <c r="G337" i="20"/>
  <c r="G332" i="20" s="1"/>
  <c r="G331" i="20" s="1"/>
  <c r="G330" i="20" s="1"/>
  <c r="H391" i="20"/>
  <c r="H374" i="20" s="1"/>
  <c r="H433" i="20"/>
  <c r="H426" i="20" s="1"/>
  <c r="G606" i="20"/>
  <c r="G602" i="20" s="1"/>
  <c r="G601" i="20" s="1"/>
  <c r="G781" i="20"/>
  <c r="G780" i="20" s="1"/>
  <c r="G779" i="20" s="1"/>
  <c r="G778" i="20" s="1"/>
  <c r="G777" i="20" s="1"/>
  <c r="G824" i="20"/>
  <c r="I957" i="20"/>
  <c r="I956" i="20" s="1"/>
  <c r="I955" i="20" s="1"/>
  <c r="G994" i="20"/>
  <c r="G993" i="20" s="1"/>
  <c r="G1114" i="20"/>
  <c r="G1110" i="20" s="1"/>
  <c r="G1109" i="20" s="1"/>
  <c r="G1108" i="20" s="1"/>
  <c r="H1132" i="20"/>
  <c r="H1131" i="20" s="1"/>
  <c r="H1130" i="20" s="1"/>
  <c r="H1129" i="20" s="1"/>
  <c r="H1128" i="20" s="1"/>
  <c r="G1136" i="20"/>
  <c r="G1132" i="20" s="1"/>
  <c r="G1131" i="20" s="1"/>
  <c r="G1130" i="20" s="1"/>
  <c r="G1129" i="20" s="1"/>
  <c r="G1128" i="20" s="1"/>
  <c r="I332" i="20"/>
  <c r="I331" i="20" s="1"/>
  <c r="I330" i="20" s="1"/>
  <c r="G702" i="20"/>
  <c r="G698" i="20" s="1"/>
  <c r="G697" i="20" s="1"/>
  <c r="G696" i="20" s="1"/>
  <c r="G695" i="20" s="1"/>
  <c r="G694" i="20" s="1"/>
  <c r="I833" i="20"/>
  <c r="H878" i="20"/>
  <c r="H874" i="20" s="1"/>
  <c r="G959" i="20"/>
  <c r="G958" i="20" s="1"/>
  <c r="I1038" i="20"/>
  <c r="I1043" i="20"/>
  <c r="G1071" i="20"/>
  <c r="G1070" i="20" s="1"/>
  <c r="G1069" i="20" s="1"/>
  <c r="G1068" i="20" s="1"/>
  <c r="G1067" i="20" s="1"/>
  <c r="G1066" i="20" s="1"/>
  <c r="G36" i="20"/>
  <c r="G32" i="20" s="1"/>
  <c r="G31" i="20" s="1"/>
  <c r="G30" i="20" s="1"/>
  <c r="G95" i="20"/>
  <c r="H239" i="20"/>
  <c r="H238" i="20" s="1"/>
  <c r="I58" i="20"/>
  <c r="I32" i="20"/>
  <c r="I31" i="20" s="1"/>
  <c r="I30" i="20" s="1"/>
  <c r="H58" i="20"/>
  <c r="H118" i="20"/>
  <c r="H149" i="20"/>
  <c r="H148" i="20" s="1"/>
  <c r="H144" i="20" s="1"/>
  <c r="H143" i="20" s="1"/>
  <c r="H142" i="20" s="1"/>
  <c r="H141" i="20" s="1"/>
  <c r="G195" i="20"/>
  <c r="G194" i="20" s="1"/>
  <c r="G178" i="20" s="1"/>
  <c r="G177" i="20" s="1"/>
  <c r="I320" i="20"/>
  <c r="I319" i="20" s="1"/>
  <c r="G320" i="20"/>
  <c r="G319" i="20" s="1"/>
  <c r="H407" i="20"/>
  <c r="H406" i="20" s="1"/>
  <c r="H405" i="20" s="1"/>
  <c r="I464" i="20"/>
  <c r="I459" i="20" s="1"/>
  <c r="G537" i="20"/>
  <c r="I612" i="20"/>
  <c r="I611" i="20" s="1"/>
  <c r="I600" i="20" s="1"/>
  <c r="I777" i="20"/>
  <c r="I562" i="20"/>
  <c r="G624" i="20"/>
  <c r="G623" i="20" s="1"/>
  <c r="H698" i="20"/>
  <c r="H697" i="20" s="1"/>
  <c r="H696" i="20" s="1"/>
  <c r="H695" i="20" s="1"/>
  <c r="H694" i="20" s="1"/>
  <c r="I801" i="20"/>
  <c r="I796" i="20" s="1"/>
  <c r="H612" i="20"/>
  <c r="H611" i="20" s="1"/>
  <c r="H600" i="20" s="1"/>
  <c r="G808" i="20"/>
  <c r="H484" i="20"/>
  <c r="H480" i="20" s="1"/>
  <c r="H479" i="20" s="1"/>
  <c r="H478" i="20" s="1"/>
  <c r="H477" i="20" s="1"/>
  <c r="H636" i="20"/>
  <c r="H632" i="20" s="1"/>
  <c r="H631" i="20" s="1"/>
  <c r="G655" i="20"/>
  <c r="G651" i="20" s="1"/>
  <c r="G650" i="20" s="1"/>
  <c r="G649" i="20" s="1"/>
  <c r="G738" i="20"/>
  <c r="G734" i="20" s="1"/>
  <c r="G733" i="20" s="1"/>
  <c r="G732" i="20" s="1"/>
  <c r="G846" i="20"/>
  <c r="G845" i="20" s="1"/>
  <c r="H1103" i="20"/>
  <c r="H1102" i="20" s="1"/>
  <c r="H1101" i="20" s="1"/>
  <c r="I900" i="20"/>
  <c r="I899" i="20" s="1"/>
  <c r="I898" i="20" s="1"/>
  <c r="I897" i="20" s="1"/>
  <c r="I896" i="20" s="1"/>
  <c r="H968" i="20"/>
  <c r="H967" i="20" s="1"/>
  <c r="H966" i="20" s="1"/>
  <c r="I1132" i="20"/>
  <c r="I1131" i="20" s="1"/>
  <c r="I1130" i="20" s="1"/>
  <c r="I1129" i="20" s="1"/>
  <c r="I1128" i="20" s="1"/>
  <c r="I1031" i="20"/>
  <c r="I1030" i="20" s="1"/>
  <c r="G1091" i="20"/>
  <c r="G1087" i="20" s="1"/>
  <c r="G1086" i="20" s="1"/>
  <c r="G1085" i="20" s="1"/>
  <c r="G1084" i="20" s="1"/>
  <c r="G1083" i="20" s="1"/>
  <c r="E48" i="32"/>
  <c r="D20" i="32"/>
  <c r="D82" i="32" s="1"/>
  <c r="E82" i="32"/>
  <c r="F174" i="31" l="1"/>
  <c r="G174" i="31"/>
  <c r="G872" i="31"/>
  <c r="H676" i="31"/>
  <c r="G596" i="31"/>
  <c r="G543" i="31" s="1"/>
  <c r="H23" i="31"/>
  <c r="F872" i="31"/>
  <c r="H375" i="31"/>
  <c r="H291" i="31" s="1"/>
  <c r="G59" i="31"/>
  <c r="H174" i="31"/>
  <c r="G922" i="31"/>
  <c r="G850" i="31" s="1"/>
  <c r="F676" i="31"/>
  <c r="H922" i="31"/>
  <c r="H850" i="31" s="1"/>
  <c r="H596" i="31"/>
  <c r="H543" i="31" s="1"/>
  <c r="G375" i="31"/>
  <c r="G291" i="31" s="1"/>
  <c r="H81" i="31"/>
  <c r="G81" i="31"/>
  <c r="F23" i="31"/>
  <c r="F22" i="31" s="1"/>
  <c r="F922" i="31"/>
  <c r="F375" i="31"/>
  <c r="F81" i="31"/>
  <c r="G440" i="31"/>
  <c r="H66" i="21"/>
  <c r="H98" i="21"/>
  <c r="F216" i="21"/>
  <c r="F752" i="21"/>
  <c r="G425" i="21"/>
  <c r="G424" i="21" s="1"/>
  <c r="G98" i="21"/>
  <c r="H216" i="21"/>
  <c r="F150" i="21"/>
  <c r="F149" i="21" s="1"/>
  <c r="F278" i="21"/>
  <c r="F277" i="21" s="1"/>
  <c r="F276" i="21" s="1"/>
  <c r="G532" i="21"/>
  <c r="G531" i="21" s="1"/>
  <c r="G520" i="21" s="1"/>
  <c r="G838" i="21"/>
  <c r="F322" i="21"/>
  <c r="F209" i="21" s="1"/>
  <c r="G798" i="21"/>
  <c r="G791" i="21" s="1"/>
  <c r="F649" i="21"/>
  <c r="F639" i="21" s="1"/>
  <c r="F638" i="21" s="1"/>
  <c r="F563" i="21" s="1"/>
  <c r="F520" i="21"/>
  <c r="F382" i="21"/>
  <c r="F381" i="21" s="1"/>
  <c r="G752" i="21"/>
  <c r="H151" i="21"/>
  <c r="H150" i="21" s="1"/>
  <c r="H149" i="21" s="1"/>
  <c r="H97" i="21" s="1"/>
  <c r="H21" i="21" s="1"/>
  <c r="H798" i="21"/>
  <c r="H791" i="21" s="1"/>
  <c r="G151" i="21"/>
  <c r="G150" i="21" s="1"/>
  <c r="G149" i="21" s="1"/>
  <c r="H752" i="21"/>
  <c r="G700" i="21"/>
  <c r="G699" i="21" s="1"/>
  <c r="H464" i="21"/>
  <c r="H382" i="21"/>
  <c r="H381" i="21" s="1"/>
  <c r="H424" i="21"/>
  <c r="G322" i="21"/>
  <c r="G209" i="21" s="1"/>
  <c r="F425" i="21"/>
  <c r="F424" i="21" s="1"/>
  <c r="F838" i="21"/>
  <c r="H700" i="21"/>
  <c r="H699" i="21" s="1"/>
  <c r="F98" i="21"/>
  <c r="G464" i="21"/>
  <c r="H649" i="21"/>
  <c r="H639" i="21" s="1"/>
  <c r="H638" i="21" s="1"/>
  <c r="H563" i="21" s="1"/>
  <c r="G66" i="21"/>
  <c r="H532" i="21"/>
  <c r="H531" i="21" s="1"/>
  <c r="H520" i="21" s="1"/>
  <c r="F798" i="21"/>
  <c r="F791" i="21" s="1"/>
  <c r="H322" i="21"/>
  <c r="F700" i="21"/>
  <c r="F699" i="21" s="1"/>
  <c r="F464" i="21"/>
  <c r="I157" i="20"/>
  <c r="I156" i="20" s="1"/>
  <c r="I1100" i="20"/>
  <c r="I1099" i="20" s="1"/>
  <c r="G832" i="20"/>
  <c r="G831" i="20" s="1"/>
  <c r="H832" i="20"/>
  <c r="H831" i="20" s="1"/>
  <c r="H57" i="20"/>
  <c r="G1100" i="20"/>
  <c r="G1099" i="20" s="1"/>
  <c r="G873" i="20"/>
  <c r="G872" i="20" s="1"/>
  <c r="G871" i="20" s="1"/>
  <c r="H1100" i="20"/>
  <c r="H1099" i="20" s="1"/>
  <c r="I425" i="20"/>
  <c r="I424" i="20" s="1"/>
  <c r="I423" i="20" s="1"/>
  <c r="I414" i="20" s="1"/>
  <c r="I318" i="20"/>
  <c r="I310" i="20" s="1"/>
  <c r="I832" i="20"/>
  <c r="I831" i="20" s="1"/>
  <c r="G374" i="20"/>
  <c r="G373" i="20" s="1"/>
  <c r="G372" i="20" s="1"/>
  <c r="G355" i="20" s="1"/>
  <c r="G347" i="20" s="1"/>
  <c r="I374" i="20"/>
  <c r="I373" i="20" s="1"/>
  <c r="I372" i="20" s="1"/>
  <c r="I355" i="20" s="1"/>
  <c r="I347" i="20" s="1"/>
  <c r="H622" i="20"/>
  <c r="H599" i="20" s="1"/>
  <c r="I1029" i="20"/>
  <c r="I1019" i="20" s="1"/>
  <c r="I1018" i="20" s="1"/>
  <c r="I954" i="20" s="1"/>
  <c r="I953" i="20" s="1"/>
  <c r="G796" i="20"/>
  <c r="G795" i="20" s="1"/>
  <c r="H796" i="20"/>
  <c r="H795" i="20" s="1"/>
  <c r="H731" i="20"/>
  <c r="H730" i="20" s="1"/>
  <c r="H536" i="20"/>
  <c r="H535" i="20" s="1"/>
  <c r="H519" i="20" s="1"/>
  <c r="I536" i="20"/>
  <c r="I535" i="20" s="1"/>
  <c r="I519" i="20" s="1"/>
  <c r="G157" i="20"/>
  <c r="G156" i="20" s="1"/>
  <c r="I57" i="20"/>
  <c r="H873" i="20"/>
  <c r="H872" i="20" s="1"/>
  <c r="H871" i="20" s="1"/>
  <c r="I795" i="20"/>
  <c r="I794" i="20" s="1"/>
  <c r="I769" i="20" s="1"/>
  <c r="G536" i="20"/>
  <c r="G535" i="20" s="1"/>
  <c r="G519" i="20" s="1"/>
  <c r="H1029" i="20"/>
  <c r="H1019" i="20" s="1"/>
  <c r="H1018" i="20" s="1"/>
  <c r="H954" i="20" s="1"/>
  <c r="H953" i="20" s="1"/>
  <c r="G425" i="20"/>
  <c r="G424" i="20" s="1"/>
  <c r="G423" i="20" s="1"/>
  <c r="G414" i="20" s="1"/>
  <c r="I731" i="20"/>
  <c r="I730" i="20" s="1"/>
  <c r="G731" i="20"/>
  <c r="G730" i="20" s="1"/>
  <c r="H318" i="20"/>
  <c r="H310" i="20" s="1"/>
  <c r="H110" i="20"/>
  <c r="H109" i="20" s="1"/>
  <c r="H108" i="20" s="1"/>
  <c r="H56" i="20" s="1"/>
  <c r="H22" i="20" s="1"/>
  <c r="G968" i="20"/>
  <c r="G967" i="20" s="1"/>
  <c r="G966" i="20" s="1"/>
  <c r="G23" i="31"/>
  <c r="H59" i="31"/>
  <c r="H440" i="31"/>
  <c r="F291" i="31"/>
  <c r="F440" i="31"/>
  <c r="G639" i="21"/>
  <c r="G638" i="21" s="1"/>
  <c r="G563" i="21" s="1"/>
  <c r="I622" i="20"/>
  <c r="I599" i="20" s="1"/>
  <c r="G957" i="20"/>
  <c r="G956" i="20" s="1"/>
  <c r="G955" i="20" s="1"/>
  <c r="G600" i="20"/>
  <c r="G57" i="20"/>
  <c r="H425" i="20"/>
  <c r="H424" i="20" s="1"/>
  <c r="H423" i="20" s="1"/>
  <c r="H414" i="20" s="1"/>
  <c r="I110" i="20"/>
  <c r="I109" i="20" s="1"/>
  <c r="I108" i="20" s="1"/>
  <c r="G110" i="20"/>
  <c r="G109" i="20" s="1"/>
  <c r="G108" i="20" s="1"/>
  <c r="G1029" i="20"/>
  <c r="G1019" i="20" s="1"/>
  <c r="G1018" i="20" s="1"/>
  <c r="H157" i="20"/>
  <c r="H156" i="20" s="1"/>
  <c r="G318" i="20"/>
  <c r="G310" i="20" s="1"/>
  <c r="H373" i="20"/>
  <c r="H372" i="20" s="1"/>
  <c r="H355" i="20" s="1"/>
  <c r="H347" i="20" s="1"/>
  <c r="G622" i="20"/>
  <c r="G22" i="31" l="1"/>
  <c r="F850" i="31"/>
  <c r="H22" i="31"/>
  <c r="H21" i="31"/>
  <c r="G21" i="31"/>
  <c r="F21" i="31"/>
  <c r="F380" i="21"/>
  <c r="F698" i="21"/>
  <c r="G97" i="21"/>
  <c r="F97" i="21"/>
  <c r="F21" i="21" s="1"/>
  <c r="F20" i="21" s="1"/>
  <c r="G380" i="21"/>
  <c r="H698" i="21"/>
  <c r="H209" i="21"/>
  <c r="H380" i="21"/>
  <c r="G21" i="21"/>
  <c r="G20" i="21" s="1"/>
  <c r="G698" i="21"/>
  <c r="H20" i="21"/>
  <c r="H794" i="20"/>
  <c r="H769" i="20" s="1"/>
  <c r="I56" i="20"/>
  <c r="I22" i="20" s="1"/>
  <c r="I21" i="20" s="1"/>
  <c r="H21" i="20"/>
  <c r="G954" i="20"/>
  <c r="G953" i="20" s="1"/>
  <c r="G794" i="20"/>
  <c r="G769" i="20" s="1"/>
  <c r="G599" i="20"/>
  <c r="G56" i="20"/>
  <c r="G22" i="20" s="1"/>
  <c r="G21" i="20" s="1"/>
  <c r="H20" i="20"/>
  <c r="I20" i="20"/>
  <c r="G20" i="20" l="1"/>
</calcChain>
</file>

<file path=xl/sharedStrings.xml><?xml version="1.0" encoding="utf-8"?>
<sst xmlns="http://schemas.openxmlformats.org/spreadsheetml/2006/main" count="14291" uniqueCount="887">
  <si>
    <t>Подраздел</t>
  </si>
  <si>
    <t>Раздел</t>
  </si>
  <si>
    <t>Наименование</t>
  </si>
  <si>
    <t>Целевая статья расходов</t>
  </si>
  <si>
    <t>Вид расхода</t>
  </si>
  <si>
    <t>Ведомство</t>
  </si>
  <si>
    <t>Вид расходов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</si>
  <si>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</si>
  <si>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Код бюджетной классификации Российской Федерации</t>
  </si>
  <si>
    <t>Источники финансирования дефицита</t>
  </si>
  <si>
    <t>тыс. рублей</t>
  </si>
  <si>
    <t>бюджета муниципального образования г.Владикавказ</t>
  </si>
  <si>
    <t>тыс.рублей</t>
  </si>
  <si>
    <t>Начальник Финансового управления __________________   К.Цоков</t>
  </si>
  <si>
    <t>Распределение бюджетных ассигнований по целевым статьям (муниципальным целевым программам и непрограммным направлениям деятельности), разделам, подразделам, группам и подгруппам видов расходов классификации расходов бюджета муниципального образования г.Владикавказ</t>
  </si>
  <si>
    <t>Ведомственная структура расходов бюджета муниципального образования г.Владикавказ на 2023 год и на плановый период 2024 и 2025 годов</t>
  </si>
  <si>
    <t>на 2023 год и на плановый период 2024 и 2025 год</t>
  </si>
  <si>
    <t xml:space="preserve">Распределение бюджетных ассигнований по разделам и подразделам, целевым статьям (муниципальным целевым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на 2023 год и на плановый период 2024 и 2025 годов                                                                                                                                                                                                                                  </t>
  </si>
  <si>
    <t xml:space="preserve"> на 2023 год и на плановый период 2024 и 2025 годов</t>
  </si>
  <si>
    <t>Приложение 3</t>
  </si>
  <si>
    <t xml:space="preserve">"О внесении изменений в решение </t>
  </si>
  <si>
    <t>Собрания представителей г.Владикавказ</t>
  </si>
  <si>
    <t>решения Собрания представителей</t>
  </si>
  <si>
    <t>"О бюджете муниципального образования</t>
  </si>
  <si>
    <t>г.Владикавказ на 2022 год и плановый период 2023 и 2024 годов"</t>
  </si>
  <si>
    <t>Приложение 1</t>
  </si>
  <si>
    <t xml:space="preserve">г.Владикавказ на 2023 год и на плановый период 2024 и 2025 годов" </t>
  </si>
  <si>
    <r>
      <t>г.Владикавказ от "</t>
    </r>
    <r>
      <rPr>
        <u/>
        <sz val="11"/>
        <rFont val="Times New Roman"/>
        <family val="1"/>
        <charset val="204"/>
      </rPr>
      <t>23</t>
    </r>
    <r>
      <rPr>
        <sz val="11"/>
        <rFont val="Times New Roman"/>
        <family val="1"/>
        <charset val="204"/>
      </rPr>
      <t xml:space="preserve">" </t>
    </r>
    <r>
      <rPr>
        <u/>
        <sz val="11"/>
        <rFont val="Times New Roman"/>
        <family val="1"/>
        <charset val="204"/>
      </rPr>
      <t>декабря</t>
    </r>
    <r>
      <rPr>
        <sz val="11"/>
        <rFont val="Times New Roman"/>
        <family val="1"/>
        <charset val="204"/>
      </rPr>
      <t xml:space="preserve"> 2022 года №</t>
    </r>
    <r>
      <rPr>
        <u/>
        <sz val="11"/>
        <rFont val="Times New Roman"/>
        <family val="1"/>
        <charset val="204"/>
      </rPr>
      <t>40/101</t>
    </r>
  </si>
  <si>
    <r>
      <t>от "</t>
    </r>
    <r>
      <rPr>
        <u/>
        <sz val="11"/>
        <rFont val="Times New Roman"/>
        <family val="1"/>
        <charset val="204"/>
      </rPr>
      <t>23</t>
    </r>
    <r>
      <rPr>
        <sz val="11"/>
        <rFont val="Times New Roman"/>
        <family val="1"/>
        <charset val="204"/>
      </rPr>
      <t xml:space="preserve">" </t>
    </r>
    <r>
      <rPr>
        <u/>
        <sz val="11"/>
        <rFont val="Times New Roman"/>
        <family val="1"/>
        <charset val="204"/>
      </rPr>
      <t>декабря</t>
    </r>
    <r>
      <rPr>
        <sz val="11"/>
        <rFont val="Times New Roman"/>
        <family val="1"/>
        <charset val="204"/>
      </rPr>
      <t xml:space="preserve"> 2022 года №</t>
    </r>
    <r>
      <rPr>
        <u/>
        <sz val="11"/>
        <rFont val="Times New Roman"/>
        <family val="1"/>
        <charset val="204"/>
      </rPr>
      <t>40/101</t>
    </r>
    <r>
      <rPr>
        <sz val="11"/>
        <rFont val="Times New Roman"/>
        <family val="1"/>
        <charset val="204"/>
      </rPr>
      <t xml:space="preserve"> "О бюджете муниципального образования</t>
    </r>
  </si>
  <si>
    <t>Приложение 2</t>
  </si>
  <si>
    <t>Приложение 4</t>
  </si>
  <si>
    <t>Сумма на 2023 год</t>
  </si>
  <si>
    <t>Сумма на 2024 год</t>
  </si>
  <si>
    <t>Сумма на 2025 год</t>
  </si>
  <si>
    <t>Приложение 5</t>
  </si>
  <si>
    <t>Приложение 7</t>
  </si>
  <si>
    <t xml:space="preserve"> ДОХОДЫ</t>
  </si>
  <si>
    <t>на 2023 год и на плановый период 2024 и  2025 годов</t>
  </si>
  <si>
    <t>Код бюджетной  классификации РФ</t>
  </si>
  <si>
    <t>Наименование                                                                           дохода</t>
  </si>
  <si>
    <t>Целевая статья     расходов</t>
  </si>
  <si>
    <t>к решению Собрания представителей</t>
  </si>
  <si>
    <t>Приложение 6</t>
  </si>
  <si>
    <t>Распределение бюджетных ассигнований на предоставление субсидий юридическим лицам и некоммерческим организациям на 2023 год и на плановый период 2024 и 2025 годов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</si>
  <si>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</si>
  <si>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</si>
  <si>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</si>
  <si>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товары( работы, услуги) реализуемые на территории РФ</t>
  </si>
  <si>
    <t>Акцизы на автомобильный и прямогонный бензин, дизельное топливо и моторные масла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</si>
  <si>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</si>
  <si>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</si>
  <si>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</si>
  <si>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</si>
  <si>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</si>
  <si>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</si>
  <si>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</si>
  <si>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</si>
  <si>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</si>
  <si>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</si>
  <si>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</si>
  <si>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</si>
  <si>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</si>
  <si>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</si>
  <si>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</si>
  <si>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</si>
  <si>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</si>
  <si>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</si>
  <si>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</si>
  <si>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</si>
  <si>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</si>
  <si>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</si>
  <si>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</si>
  <si>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</si>
  <si>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</si>
  <si>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</si>
  <si>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поддержку мер по обеспечению сбалансированности бюджетов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</si>
  <si>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</si>
  <si>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субъектов РФ и муниципальных образований (межбюджетные субсидии)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</si>
  <si>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</si>
  <si>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</si>
  <si>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</si>
  <si>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</si>
  <si>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Субсидии бюджетам городских округов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</si>
  <si>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</si>
  <si>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</si>
  <si>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</si>
  <si>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 Российской Федерации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</si>
  <si>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 образования в муниципальных дошкольных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</si>
  <si>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 ,а также дополнительного образования в общеобразовательных учреждениях)</t>
  </si>
  <si>
    <t>Субвенции бюджетам городских округов на выполнение передаваемых полномочий субъектов Российской Федерации (оздоровительная кампания)</t>
  </si>
  <si>
    <t>Субвенции бюджетам городских округов на выполнение передаваемых полномочий субъектов Российской Федерации (организация и поддержка учреждений культуры)</t>
  </si>
  <si>
    <t>Субвенции бюджетам городских округов на выполнение передаваемых полномочий субъектов Российской Федерации (организация деятельности административных комиссий)</t>
  </si>
  <si>
    <t>Субвенции бюджетам городских округов на выполнение передаваемых полномочий субъектов Российской Федерации (содержание приютов для безнадзорных животных)</t>
  </si>
  <si>
    <t xml:space="preserve">Субвенции на компенсацию части родительской платы за содержание ребенка в муниципальных образовательных организациях, реализующих основную общеобразовательную программу дошкольного образования </t>
  </si>
  <si>
    <t>Субвенции бюджетам городских округов на выполнение передаваемых полномочий субъектов Российской Федерации (по составлению (изменению) списков кандидатов в присяжные заседатели)</t>
  </si>
  <si>
    <t>Иные межбюджетные трансферты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</si>
  <si>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</si>
  <si>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</si>
  <si>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</si>
  <si>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Прочие межбюджетные трансферты,
 передаваемые бюджетам городских
 округов (Резервный фонд Правительства Республики Северная Осетия-Алания)</t>
  </si>
  <si>
    <t>Прочие межбюджетные трансферты, передаваемые бюджетам городских округов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</si>
  <si>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Прочие межбюджетные трансферты, передаваемые бюджетам городских округов (Организацию бесплатного горячего питания обучающихся из семей, признанных малоимущими, и обучающихся с ограниченными возможностями здоровья, получающих основное общее и среднее общее образование в муниципальных образовательных организациях)</t>
  </si>
  <si>
    <t>Прочие межбюджетные трансферты, передаваемые бюджетам городских округов (ежемесячная денежная выплата учителям муниципальных общеобразовательных организаций, которым присвоен статус учителя-методиста, учителя-наставника)</t>
  </si>
  <si>
    <t>Прочие межбюджетные трансферты, передаваемые бюджетам городских округов  (реализация мероприятий по переселению жильцов из аварийного жилого дома по ул.Владикавказская, 34)</t>
  </si>
  <si>
    <t>Прочие межбюджетные трансферты, передаваемые бюджетам городских округов  (организация и проведение государственной итоговой аттестации обучающихся общеобразовательных организаций Республики Северная Осетия-Алания)</t>
  </si>
  <si>
    <t>Прочие межбюджетные трансферты, передаваемые бюджетам городских округов (на реализацию мероприятий государственной программы Республики Северная Осетия-Алания "Развитие культуры Республики Северная Осетия-Алания" на 2014 - 2024 годы")</t>
  </si>
  <si>
    <t>ВСЕГО ДОХОДОВ</t>
  </si>
  <si>
    <t>000 1 00 00000 00 0000 000</t>
  </si>
  <si>
    <t>000 1 01 00000 00 0000 000</t>
  </si>
  <si>
    <t>000 1 01 02000 01 0000 110</t>
  </si>
  <si>
    <t>000 1 03 00000 00 0000 000</t>
  </si>
  <si>
    <t>000 1 03 02000 00 0000 000</t>
  </si>
  <si>
    <t>000 1 05 00000 00 0000 000</t>
  </si>
  <si>
    <t>000 1 05 01000 00 0000 110</t>
  </si>
  <si>
    <t>000 1 05 03000 01 0000 110</t>
  </si>
  <si>
    <t>000 1 05 04000 02 0000 110</t>
  </si>
  <si>
    <t>000 1 06 00000 00 0000 000</t>
  </si>
  <si>
    <t>000 1 06 01000 00 0000 110</t>
  </si>
  <si>
    <t>000 1 06 02000 02 0000 110</t>
  </si>
  <si>
    <t>000 1 06 06000 00 0000 110</t>
  </si>
  <si>
    <t>000 1 08 00000 00 0000 000</t>
  </si>
  <si>
    <t>000 1 11 00000 00 0000 000</t>
  </si>
  <si>
    <t>000 1 11 05012 04 0000 120</t>
  </si>
  <si>
    <t>000 1 11 05034 04 0000 120</t>
  </si>
  <si>
    <t>000 1 11 09044 04 0000 120</t>
  </si>
  <si>
    <t>000 1 11 09080 04 0000 120</t>
  </si>
  <si>
    <t>000 1 11 07014 04 0000 120</t>
  </si>
  <si>
    <t>000 1 12 00000 00 0000 000</t>
  </si>
  <si>
    <t>000 1 12 01000 01 0000 120</t>
  </si>
  <si>
    <t>000 1 13 02994 04 0000 130</t>
  </si>
  <si>
    <t>000 1 14 00000 00 0000 000</t>
  </si>
  <si>
    <t>000 1 14 02043 04 0000 410</t>
  </si>
  <si>
    <t>000 1 14 06012 04 0000 430</t>
  </si>
  <si>
    <t>000 1 16 00000 00 0000 000</t>
  </si>
  <si>
    <t>000 1 17 00000 00 0000 180</t>
  </si>
  <si>
    <t>000 2 00 00000 00 0000 000</t>
  </si>
  <si>
    <t>000 2 02 15000 00 0000 150</t>
  </si>
  <si>
    <t>000 2 02 15001 04 0000 150</t>
  </si>
  <si>
    <t xml:space="preserve">000 2 02 15002 04 0000 150 </t>
  </si>
  <si>
    <t>000 2 02 16549 04 0000 150</t>
  </si>
  <si>
    <t>000 2 02 20000 00 0000 150</t>
  </si>
  <si>
    <t>000 2 02 20216 04 0060 150</t>
  </si>
  <si>
    <t>000 2 02 20299 04 0000 150</t>
  </si>
  <si>
    <t>000 2 02 20302 04 0000 150</t>
  </si>
  <si>
    <t>000 2 02 25299 04 0000 150</t>
  </si>
  <si>
    <t>000 2 02 25497 04 0000 150</t>
  </si>
  <si>
    <t>000 2 02 25519 04 0000 150</t>
  </si>
  <si>
    <t>000 2 02 25555 04 0000 150</t>
  </si>
  <si>
    <t>000 2 02 30000 00 0000 150</t>
  </si>
  <si>
    <t>000 2 02 30024 04 0000 150</t>
  </si>
  <si>
    <t xml:space="preserve">000 2 02 30024 04 0062 150          </t>
  </si>
  <si>
    <t xml:space="preserve">000 2 02 30024 04 0063 150          </t>
  </si>
  <si>
    <t>000 2 02 30024 04 0065 150</t>
  </si>
  <si>
    <t xml:space="preserve">000 2 02 30024 04 0067 150                 </t>
  </si>
  <si>
    <t xml:space="preserve">000 2 02 30024 04 0075 150 </t>
  </si>
  <si>
    <t xml:space="preserve">000 2 02 30024 04 0105 150 </t>
  </si>
  <si>
    <t>000 2 02 30029 04 0064 150</t>
  </si>
  <si>
    <t>000 2 02 35120 04 0000 150</t>
  </si>
  <si>
    <t>000 2 02 40000 00 0000 151</t>
  </si>
  <si>
    <t>000 2 02 45179 04 0000 150</t>
  </si>
  <si>
    <t>000 2 02 45303 04 0000 150</t>
  </si>
  <si>
    <t xml:space="preserve">000  2 02 45393 04 0000 150
</t>
  </si>
  <si>
    <t>000 2 02 49999 04 0102 150</t>
  </si>
  <si>
    <t>000 2 02 49999 04 0147 150</t>
  </si>
  <si>
    <t>000 2 02 49999 04 0148 150</t>
  </si>
  <si>
    <t xml:space="preserve">000 2 02 49999 04 0152 150 </t>
  </si>
  <si>
    <t>000 2 02 49999 04 0154 150</t>
  </si>
  <si>
    <t>000 2 02 49999 04 0159 150</t>
  </si>
  <si>
    <t>000 2 02 49999 04 0165 150</t>
  </si>
  <si>
    <t>000 8 50 00000 00 0000 000</t>
  </si>
  <si>
    <t>ВСЕГО РАСХОДОВ</t>
  </si>
  <si>
    <t>Администрация местного самоуправления г.Владикавказа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</si>
  <si>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</si>
  <si>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</si>
  <si>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</si>
  <si>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</si>
  <si>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598</t>
  </si>
  <si>
    <t>04</t>
  </si>
  <si>
    <t xml:space="preserve">Непрограммные расходы органов местного самоуправления </t>
  </si>
  <si>
    <t>88 0 00 00000</t>
  </si>
  <si>
    <t>Иные непрограммные расходы</t>
  </si>
  <si>
    <t>88 9 00 00000</t>
  </si>
  <si>
    <t>Глава местной администрации (исполнительно-распорядительного органа муниципального образования)</t>
  </si>
  <si>
    <t>Расходы на выплаты по оплате труда работников органов местного самоуправления</t>
  </si>
  <si>
    <t>88 9 00 00110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</si>
  <si>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</si>
  <si>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</si>
  <si>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</si>
  <si>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</si>
  <si>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99 0 00 00000</t>
  </si>
  <si>
    <t>99 9 00 00000</t>
  </si>
  <si>
    <t xml:space="preserve">Расходы на выплаты по оплате труда работников органов местного самоуправления  </t>
  </si>
  <si>
    <t>99 9 00 00110</t>
  </si>
  <si>
    <t>Расходы на обеспечение функций органов местного самоуправления</t>
  </si>
  <si>
    <t>99 9 00 00190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</si>
  <si>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</si>
  <si>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</si>
  <si>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</si>
  <si>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</si>
  <si>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</si>
  <si>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</si>
  <si>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</si>
  <si>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</si>
  <si>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Поощрение за достижение показателей деятельности органов местного самоуправления</t>
  </si>
  <si>
    <t>99 9 0Р 55491</t>
  </si>
  <si>
    <t>Судебная система</t>
  </si>
  <si>
    <t>05</t>
  </si>
  <si>
    <t>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</si>
  <si>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>99 9 0Ф 51200</t>
  </si>
  <si>
    <t>Резервные фонды</t>
  </si>
  <si>
    <t>11</t>
  </si>
  <si>
    <t>Резервный фонд администрации местного самоуправления</t>
  </si>
  <si>
    <t>99 9 00 00100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</si>
  <si>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</si>
  <si>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</si>
  <si>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</si>
  <si>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</si>
  <si>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"Информатизация АМС г.Владикавказа"</t>
  </si>
  <si>
    <t>01 0 00 00000</t>
  </si>
  <si>
    <t>Подпрограмма "Поддержка и совершенствование информационно-коммуникационной инфраструктуры"</t>
  </si>
  <si>
    <t>01 1 00 00000</t>
  </si>
  <si>
    <t>Мероприятие "Сопровождение информационных систем АМС г.Владикавказа"</t>
  </si>
  <si>
    <t>01 1 01 00103</t>
  </si>
  <si>
    <t>Мероприятие "Оплата услуг городской, междугородней и международной телефонной связи для АМС г.Владикавказа"</t>
  </si>
  <si>
    <t>01 1 02 00104</t>
  </si>
  <si>
    <t>Мероприятие "Обеспечение доступа к сети Интернет для АМС г.Владикавказа и подведомственных образовательных учреждений"</t>
  </si>
  <si>
    <t>01 1 03 00105</t>
  </si>
  <si>
    <t>Мероприятие "Предоставление цифровых оптоволоконных каналов связи для АМС г.Владикавказа и подведомственных образовательных учреждений"</t>
  </si>
  <si>
    <t>01 1 04 00106</t>
  </si>
  <si>
    <t>Мероприятие "Приобретение вычислительной техники, комплектующих и прочего оборудования"</t>
  </si>
  <si>
    <t>01 1 05 00107</t>
  </si>
  <si>
    <t>Мероприятие "Создание системы видеонаблюдения в подведомственных образовательных учреждениях"</t>
  </si>
  <si>
    <t>01 1 06 00108</t>
  </si>
  <si>
    <t>Мероприятие "Создание системы видеонаблюдения на территории муниципального образования г.Владикавказ"</t>
  </si>
  <si>
    <t>01 1 07 00109</t>
  </si>
  <si>
    <t>Подпрограмма "Обеспечение защиты информации"</t>
  </si>
  <si>
    <t>01 2 00 00000</t>
  </si>
  <si>
    <t>Мероприятие "Приобретение электронных подписей"</t>
  </si>
  <si>
    <t>01 2 01 00111</t>
  </si>
  <si>
    <t>Мероприятие "Организация защиты информационных систем персональных данных (ИСПДн)"</t>
  </si>
  <si>
    <t>01 2 02 00112</t>
  </si>
  <si>
    <t>Мероприятие "Аттестация, контроль эффективности защиты государственной тайны (ГТ)"</t>
  </si>
  <si>
    <t>01 2 03 00113</t>
  </si>
  <si>
    <t>Муниципальная программа "Профилактика экстремизма и терроризма в городе Владикавказе на 2021-2023 годы"</t>
  </si>
  <si>
    <t>06 0 00 00000</t>
  </si>
  <si>
    <t>Подпрограмма "Мониторинг социально-экономических и иных процессов, оказывающих влияние на ситуацию в области профилактики терроризма на территории г.Владикавказ"</t>
  </si>
  <si>
    <t>06 2 00 00000</t>
  </si>
  <si>
    <t>Мероприятие "Проведение мониторинга политических, социально-экономических и иных процессов, оказывающих влияние на ситуацию в области профилактики терроризма в г.Владикавказе"</t>
  </si>
  <si>
    <t>06 2 01 00114</t>
  </si>
  <si>
    <t>Муниципальная программа «Развитие и гармонизация межнациональных отношений в городе Владикавказ»</t>
  </si>
  <si>
    <t>12 0 00 00000</t>
  </si>
  <si>
    <t>Подпрограмма "Обеспечение равноправия граждан, реализация их конституционных прав в сфере государственной национальной политики Российской Федерации"</t>
  </si>
  <si>
    <t>12 2 00 00000</t>
  </si>
  <si>
    <t>Мероприятие "Проведение мониторинга в сфере межнациональных отношений в г.Владикавказе"</t>
  </si>
  <si>
    <t>12 2 01 00128</t>
  </si>
  <si>
    <t>Подпрограмма "Укрепление общероссий-ской гражданской идентичности на основе духовно-нравственных и культурных ценностей народов Российской Фе-дерации"</t>
  </si>
  <si>
    <t>12 4 00 00000</t>
  </si>
  <si>
    <t>Мероприятие "Организация мероприятий (выездные ознакомительные экскурсии) по территории РСО-Алания иностранных студентов ВУЗов города"</t>
  </si>
  <si>
    <t>12 4 04 00129</t>
  </si>
  <si>
    <t>Подпрограмма "Формирование системы социальной и культурной адаптации иностранных граждан в Рос-сийской Федерации и их интеграции в российское общество"</t>
  </si>
  <si>
    <t>12 5 00 00000</t>
  </si>
  <si>
    <t>Мероприятие "Оказание методического содействия и информаци-онной поддержки социально ориентированным не-коммерческим организа-циям, включая националь-но-культурные автономии, религиозные организации, молодежные объединения, реализующим проекты и программы, направленные на интеграцию и адаптацию мигрантов (в т.ч. выпуск брошюр, литературы)"</t>
  </si>
  <si>
    <t>12 5 05 00130</t>
  </si>
  <si>
    <t>Расходы на обеспечение деятельности (оказания услуг) муниципальных учреждений</t>
  </si>
  <si>
    <t>Расходы на учреждение по обеспечению хозяйственного обслуживания ВМКУ ТХО АМС г.Владикавказа</t>
  </si>
  <si>
    <t>99 9 00 00101</t>
  </si>
  <si>
    <t>Расходы на выплаты персоналу казенных учреждений</t>
  </si>
  <si>
    <t>110</t>
  </si>
  <si>
    <t>Расходы на содержание казенных учреждений (МКУ "Правовое обеспечение")</t>
  </si>
  <si>
    <t>99 9 00 00102</t>
  </si>
  <si>
    <t>Прочие выплаты по обязательствам государства</t>
  </si>
  <si>
    <t>99 9 00 00115</t>
  </si>
  <si>
    <t>Исполнение судебных актов</t>
  </si>
  <si>
    <t>830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</si>
  <si>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</si>
  <si>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99 9 00 00116</t>
  </si>
  <si>
    <t xml:space="preserve">Выкуп нежилых помещений в аварийных домах </t>
  </si>
  <si>
    <t>99 9 00 00117</t>
  </si>
  <si>
    <t>Мероприятия по обеспечению приватизации и проведению предпродажной подготовки объектов приватизации</t>
  </si>
  <si>
    <t>99 9 00 00195</t>
  </si>
  <si>
    <t>Проведение работ по паспортизации бесхозяйных объектов</t>
  </si>
  <si>
    <t>99 9 00 00208</t>
  </si>
  <si>
    <t>НАЦИОНАЛЬНАЯ БЕЗОПАСНОСТЬ И ПРАВООХРАНИТЕЛЬНАЯ ДЕЯТЕЛЬНОСТЬ</t>
  </si>
  <si>
    <t>03</t>
  </si>
  <si>
    <t>10</t>
  </si>
  <si>
    <t>Непрограммные расходы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</si>
  <si>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</si>
  <si>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99 9 00 00118</t>
  </si>
  <si>
    <t>Расходы на содержание ВМКУ "Управление по делам ГО и ЧС"</t>
  </si>
  <si>
    <t>99 9 00 00119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</si>
  <si>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</si>
  <si>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</si>
  <si>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</si>
  <si>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«Поддержка и развитие малого, среднего предпринимательства и инвестиционной деятельности в г.Владикавказе"</t>
  </si>
  <si>
    <t>05 0 00 00000</t>
  </si>
  <si>
    <t>Мероприятие "Субсидирование расходов субъектов малого и среднего предпринимательства на продвижение товаров и услуг"</t>
  </si>
  <si>
    <t>05 0 01 00120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</si>
  <si>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</si>
  <si>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</si>
  <si>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Мероприятие "Организация и проведение конференций, семинаров, «круглых столов», участие в семинарах, конференциях и выставках по вопросам малого и среднего предпринимательства и инвестиционной деятельности"</t>
  </si>
  <si>
    <t>05 0 02 00121</t>
  </si>
  <si>
    <t>Мероприятие "Создание и сопровождение инвестиционного портала г.Владикавказа"</t>
  </si>
  <si>
    <t>05 0 03 00122</t>
  </si>
  <si>
    <t>Мероприятие «Подготовка документации, необходимой для заключения соглашений о муниципально-частном партнерстве и концессионных соглашений, оценки рыночной стоимости концессионной платы, экспертизы оценки рыночной стоимости концессионной платы, оценки рыночной стоимости платы частного партнера по соглашению о муниципально-частном партнерстве, экспертизы оценки рыночной стоимости платы частного партнера по соглашению о муниципально-частном партнерстве», технических обследований по объектам концессионных соглашений и соглашений о муниципально-частном партнерстве"</t>
  </si>
  <si>
    <t>05 0 04 00123</t>
  </si>
  <si>
    <t>Мероприятие "Подготовка и издание информационно-справочных пособий для предпринимателей (до 2 изданий в год) по вопросам налогообложения, бухгалтерского учета, кредитования и других вопросов, связанных с началом предпринимательской деятельности"</t>
  </si>
  <si>
    <t>05 0 05 00124</t>
  </si>
  <si>
    <t>Мероприятие «Поддержка проектов, направленных на развитие туристической деятельности"</t>
  </si>
  <si>
    <t>05 0 06 00125</t>
  </si>
  <si>
    <t>Проведение работ по планировке территорий рекреационных и парковых зон на территории г.Владикавказ</t>
  </si>
  <si>
    <t>99 9 00 00126</t>
  </si>
  <si>
    <t xml:space="preserve">Внесение изменений в нормативы градостроительного проектирования г.Владикавказа </t>
  </si>
  <si>
    <t>99 9 00 00127</t>
  </si>
  <si>
    <t xml:space="preserve">Разработка стратегии социально-экономического развития муниципального образования </t>
  </si>
  <si>
    <t>99 9 00 00131</t>
  </si>
  <si>
    <t>Мероприятие по разработке межевых планов территорий</t>
  </si>
  <si>
    <t>99 9 00 00196</t>
  </si>
  <si>
    <t>Мероприятие по подготовке документации по планировке и межеванию территории</t>
  </si>
  <si>
    <t>99 9 00 00230</t>
  </si>
  <si>
    <t>99 9 00 00132</t>
  </si>
  <si>
    <t>Расходы на содержание ВМКУ "Проектный офис"</t>
  </si>
  <si>
    <t>СОЦИАЛЬНАЯ ПОЛИТИКА</t>
  </si>
  <si>
    <t>Пенсионное обеспечение</t>
  </si>
  <si>
    <t>Ежемесячные доплата к государственной пенсии лицам замещавшим муниципальные должности и должности муниципальной службы</t>
  </si>
  <si>
    <t>99 9 00 00133</t>
  </si>
  <si>
    <t>Социальное обеспечение и иные выплаты населению</t>
  </si>
  <si>
    <t>300</t>
  </si>
  <si>
    <t>Публичные нормативные социальные выплаты гражданам"</t>
  </si>
  <si>
    <t>310</t>
  </si>
  <si>
    <t>Социальное обеспечение населения</t>
  </si>
  <si>
    <t>Муниципальная целевая программа «Социальная 
поддержка нуждающегося населения г.Владикавказа"</t>
  </si>
  <si>
    <t>02 0 00 00000</t>
  </si>
  <si>
    <t>Мероприятие "Оказание материальной помощи малообеспеченным семьям (одиноко проживающим гражданам) по обращениям"</t>
  </si>
  <si>
    <t>02 0 01 00134</t>
  </si>
  <si>
    <t>Реализация мероприятий по обеспечению жильем молодых семей за счет средств бюджетов</t>
  </si>
  <si>
    <t>99 9 0P L4970</t>
  </si>
  <si>
    <t>Социальные выплаты гражданам, кроме публичных нормативных социальных выплат</t>
  </si>
  <si>
    <t>320</t>
  </si>
  <si>
    <t>Реализация мероприятий по обеспечению жильем молодых семей</t>
  </si>
  <si>
    <t>99 9 0М L4970</t>
  </si>
  <si>
    <t xml:space="preserve">Единовременная выплата на приобретение жилого помещения для людей страдающих тяжелыми формами хронических заболеваний </t>
  </si>
  <si>
    <t>99 9 00 00135</t>
  </si>
  <si>
    <t xml:space="preserve">Приобретение жилых помещений </t>
  </si>
  <si>
    <t>99 9 00 00136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</si>
  <si>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</si>
  <si>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</si>
  <si>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</si>
  <si>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</si>
  <si>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Резервный фонд Правительства Республики Северная Осетия-Алания</t>
  </si>
  <si>
    <t>99 7 00 99700</t>
  </si>
  <si>
    <t>СРЕДСТВА МАССОВОЙ ИНФОРМАЦИИ</t>
  </si>
  <si>
    <t>Периодическая печать и издательства</t>
  </si>
  <si>
    <t>02</t>
  </si>
  <si>
    <t xml:space="preserve">Иные непрограммные расходы </t>
  </si>
  <si>
    <t xml:space="preserve">Финансовое обеспечение деятельности (оказания услуг)  муниципального учреждения ВМБУ РГГ "Владикавказ"   </t>
  </si>
  <si>
    <t>99 9 00 00137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</si>
  <si>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</si>
  <si>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</si>
  <si>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</si>
  <si>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</si>
  <si>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Администрация (префектура) внутригородского Иристонского района г.Владикавказа</t>
  </si>
  <si>
    <t>599</t>
  </si>
  <si>
    <t>Стимулирование деятельности народных дружинников</t>
  </si>
  <si>
    <t>99 9 00 00138</t>
  </si>
  <si>
    <t>Общеэкономические вопросы</t>
  </si>
  <si>
    <t>Организация временного трудоустройства безработных граждан</t>
  </si>
  <si>
    <t>99 9 00 00140</t>
  </si>
  <si>
    <t>ЖИЛИЩНО-КОММУНАЛЬНОЕ ХОЗЯЙСТВО</t>
  </si>
  <si>
    <t>Благоустройство</t>
  </si>
  <si>
    <t>Мероприятия по благоустройству городского округа</t>
  </si>
  <si>
    <t>99 9 00 00139</t>
  </si>
  <si>
    <t>Администрация (префектура) внутригородского Северо-Западного района г.Владикавказа</t>
  </si>
  <si>
    <t>Комитет молодежной политики, физической культуры и спорта администрации местного самоуправления г.Владикавказа</t>
  </si>
  <si>
    <t>601</t>
  </si>
  <si>
    <t>ОБРАЗОВАНИЕ</t>
  </si>
  <si>
    <t>07</t>
  </si>
  <si>
    <t>Молодежная политика</t>
  </si>
  <si>
    <t>Муниципальная программа "Развитие молодежной политики, физической культуры и спорта в МО г.Владикавказ"</t>
  </si>
  <si>
    <t>11 0 00 00000</t>
  </si>
  <si>
    <t>Подпрограмма "Реализация мероприятий в области молодежной политики"</t>
  </si>
  <si>
    <t>11 1 00 00000</t>
  </si>
  <si>
    <t>Основное мероприятие "Организация и проведение мероприятий в области молодежной политики"</t>
  </si>
  <si>
    <t>11 1 01 00141</t>
  </si>
  <si>
    <t>Субсидии автономным учреждениям</t>
  </si>
  <si>
    <t>620</t>
  </si>
  <si>
    <t>ФИЗИЧЕСКАЯ КУЛЬТУРА И СПОРТ</t>
  </si>
  <si>
    <t>Физическая культура</t>
  </si>
  <si>
    <t>Подпрограмма "Реализация мероприятий в области физической культуры и спорта, пропаганда здорового образа жизни"</t>
  </si>
  <si>
    <t>11 2 00 00000</t>
  </si>
  <si>
    <t>Основное мероприятие "Организация и проведение физкультурных мероприятий и мероприятий, направленных на развитие массового спорта"</t>
  </si>
  <si>
    <t>11 2 01 00142</t>
  </si>
  <si>
    <t>Подпрограмма "Обеспечение деятельности муниципальных учреждений подведомственных КМПФКС АМС г.Владикавказа"</t>
  </si>
  <si>
    <t>11 3 00 00000</t>
  </si>
  <si>
    <t>Мероприятие "Обеспечение деятельности учреждений дополнительного образования детей"</t>
  </si>
  <si>
    <t>11 3 01 00143</t>
  </si>
  <si>
    <t>Расходы на обеспечение деятельности (оказания услуг) муниципальных образовательных учреждений дополнительного образования</t>
  </si>
  <si>
    <t>Другие вопросы в области физической культуры и спорта</t>
  </si>
  <si>
    <t>Подпрограмма "Обеспечение деятельности аппарата КМПФКС АМС г.Владикавказа"</t>
  </si>
  <si>
    <t>11 4 00 00000</t>
  </si>
  <si>
    <t>11 4 00 00110</t>
  </si>
  <si>
    <t>11 4 00 00190</t>
  </si>
  <si>
    <t>Управление дорожного строительства и организации дорожного движения администрации местного самоуправления города Владикавказа</t>
  </si>
  <si>
    <t>602</t>
  </si>
  <si>
    <t>Транспорт</t>
  </si>
  <si>
    <t>08</t>
  </si>
  <si>
    <t>Муниципальная программа "Развитие транспортной инфраструктуры г.Владикавказа"</t>
  </si>
  <si>
    <t>03 0 00 00000</t>
  </si>
  <si>
    <t>Подпрограмма «Обеспечение деятельности и выполнения функций УДСиОДД АМС г.Владикавказа»</t>
  </si>
  <si>
    <t>03 1 00 00000</t>
  </si>
  <si>
    <t>03 1 00 00110</t>
  </si>
  <si>
    <t>03 1 00 00190</t>
  </si>
  <si>
    <t>Дорожное хозяйство (дорожные фонды)</t>
  </si>
  <si>
    <t>09</t>
  </si>
  <si>
    <t>Подпрограмма «Автомобильные дороги и улично-дорожная сеть (строительство, реконструкция, ремонт и содержание автомобильных дорог) г.Владикавказа»</t>
  </si>
  <si>
    <t>03 3 00 00000</t>
  </si>
  <si>
    <t>Мероприятие  "Расходы по проектированию, строительству (реконструкции) автомобильных дорог общего пользования местного значения от поступления акцизов"</t>
  </si>
  <si>
    <t>03 3 01 00145</t>
  </si>
  <si>
    <t>Мероприятие "Разработка технических планов для регистрации права собственности на автомобильные дороги "</t>
  </si>
  <si>
    <t>03 3 04 00146</t>
  </si>
  <si>
    <t>Мероприятие  "Разработка проектно-сметной документации"</t>
  </si>
  <si>
    <t>03 3 06 00147</t>
  </si>
  <si>
    <t>Субсидия на дорожную деятельность в отношении автомобильных дорог общего пользования местного значения</t>
  </si>
  <si>
    <t>03 3 0Р S6740</t>
  </si>
  <si>
    <t>Софинансирование местного бюджета городского округа г. Владикавказ на дорожную деятельность в отношении автомобильных дорог общего пользования местного значения"</t>
  </si>
  <si>
    <t>03 3 0М S6740</t>
  </si>
  <si>
    <t>Реконструкция, капитальный ремонт и ремонт автомобильных дорог местного значения (улично-дорожной сети) г.Владикавказа</t>
  </si>
  <si>
    <t xml:space="preserve">04 </t>
  </si>
  <si>
    <t>03 3 R1 28072</t>
  </si>
  <si>
    <t>Мероприятие "Капитальный ремонт. ремонт автомобильных дорог общего пользования местного значения г.Владикавказа"</t>
  </si>
  <si>
    <t>03 3 07 00213</t>
  </si>
  <si>
    <t>Мероприятие "Оценка состояния искусственных сооружений (дорожных мостов,путепроводов) г.Владикавказа"</t>
  </si>
  <si>
    <t>03 3 08 00229</t>
  </si>
  <si>
    <t>Подпрограмма «Содержание подведомственных учреждений УДСиОДД АМС г. Владикавказа»</t>
  </si>
  <si>
    <t>03 4 00 00000</t>
  </si>
  <si>
    <t>Мероприятие "Содержание ВМКУ «Дорожный фонд»</t>
  </si>
  <si>
    <t>03 4 01 00148</t>
  </si>
  <si>
    <t xml:space="preserve">Управление культуры администрации местного самоуправления г.Владикавказа </t>
  </si>
  <si>
    <t>603</t>
  </si>
  <si>
    <t>Дополнительное образование детей</t>
  </si>
  <si>
    <t>Муниципальная программа «Развитие культуры г.Владикавказа"</t>
  </si>
  <si>
    <t>08 0 00 00000</t>
  </si>
  <si>
    <t>Подпрограмма  «Обеспечение деятельности муниципальных учреждений культуры» г.Владикавказа»</t>
  </si>
  <si>
    <t>08 2 00 00000</t>
  </si>
  <si>
    <t>Мероприятие "Развитие системы художественно-эстетического образования в сфере культуры МО г.Владикавказа"</t>
  </si>
  <si>
    <t>08 2 01 00158</t>
  </si>
  <si>
    <t>Финансовое обеспечение деятельности (оказания услуг) муниципальных бюджетных учреждений дополнительного образования (музыкальные школы)</t>
  </si>
  <si>
    <t>КУЛЬТУРА, КИНЕМАТОГРАФИЯ</t>
  </si>
  <si>
    <t>Культура</t>
  </si>
  <si>
    <t>Подпрограмма «Развитие культурной жизни г.Владикавказа и патриотическое воспитание граждан»</t>
  </si>
  <si>
    <t>08 1 00 00000</t>
  </si>
  <si>
    <t>Мероприятие "Проведение праздничных мероприятий"</t>
  </si>
  <si>
    <t>08 1 01 00149</t>
  </si>
  <si>
    <t>Мероприятие "Приобретение сувенирной продукции"</t>
  </si>
  <si>
    <t>08 1 05 00150</t>
  </si>
  <si>
    <t>Мероприятие "Чествование, поздравление работников культуры и творческих коллективов. "Ими гордится Владикавказ"-чествование почетных граждан, заслуженных людей г.Владикавказа"</t>
  </si>
  <si>
    <t>08 1 06 00151</t>
  </si>
  <si>
    <t>Публичные нормативные выплаты гражданам несоциального характера</t>
  </si>
  <si>
    <t>330</t>
  </si>
  <si>
    <t>Мероприятие "Установка, реставрация и текущий ремонт памятников и объектов культуры, расположенных на территории г.Владикавказа"</t>
  </si>
  <si>
    <t>08 1 09 00152</t>
  </si>
  <si>
    <t>Мероприятие "Издание и приобретение книг и иной печатной продукции, визуальной, аудиопродукции о г.Владикавказе, РСО-Алании"</t>
  </si>
  <si>
    <t>08 1 10 00153</t>
  </si>
  <si>
    <t>Мероприятие "Проведение международного фестиваля скрипичной музыки "ПОДАРИМ МИРУ МУЗЫКУ ДУШИ"</t>
  </si>
  <si>
    <t>08 1 12 00154</t>
  </si>
  <si>
    <t>Мероприятие "Учреждение конкурса главы АМС г.Владикавказа «Одаренные дети»"</t>
  </si>
  <si>
    <t>08 1 14 00155</t>
  </si>
  <si>
    <t>Мероприятие "Мемориальная работа"</t>
  </si>
  <si>
    <t>08 1 21 00156</t>
  </si>
  <si>
    <t>Мероприятие "Субсидия социально-ориентированным некоммерческим организациям патриотической направленности"</t>
  </si>
  <si>
    <t>08 1 23 00157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</si>
  <si>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</si>
  <si>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</si>
  <si>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Возмещение расходов, связанных с реализацией мероприятий в сфере культуры и кинематографии</t>
  </si>
  <si>
    <t>08 1 0P 22040</t>
  </si>
  <si>
    <t>Мероприятие "Развитие библиотечного дела в библиотеках МО г.Владикавказа"</t>
  </si>
  <si>
    <t>08 2 02 00000</t>
  </si>
  <si>
    <t>Финансовое обеспечение деятельности МБУК "Централизованная библиотечная система г.Владикавказа"</t>
  </si>
  <si>
    <t>08 2 02 00159</t>
  </si>
  <si>
    <t>Мероприятие "Обеспечение деятельности культурно-досуговых учреждений муниципального образования г.Владикавказа"</t>
  </si>
  <si>
    <t>08 2 03 00000</t>
  </si>
  <si>
    <t>Финансовое обеспечение деятельности (оказания услуг) культурно-досуговых учреждений (дома культуры)"</t>
  </si>
  <si>
    <t>08 2 03 00160</t>
  </si>
  <si>
    <t>Осуществление полномочий Республики Северная Осетия-Алания по организации и поддержке учреждений культуры</t>
  </si>
  <si>
    <t>08 2 0Р 22000</t>
  </si>
  <si>
    <t>Государственная поддержка отрасли культуры</t>
  </si>
  <si>
    <t>08 2 0Ф L5190</t>
  </si>
  <si>
    <t>Софинансирование на поддержку отрасли культуры</t>
  </si>
  <si>
    <t>08 2 0М L5190</t>
  </si>
  <si>
    <t>Другие вопросы в области культуры, кинематографии</t>
  </si>
  <si>
    <t>Подпрограмма "Обеспечение деятельности аппарата Управления культуры АМС г.Владикавказа"</t>
  </si>
  <si>
    <t>08 3 00 00000</t>
  </si>
  <si>
    <t>Мероприятие "Финансирование деятельности аппарата Управления культуры АМС г.Владикавказа"</t>
  </si>
  <si>
    <t xml:space="preserve">Расходы на выплаты по оплате труда работников органов местного самоуправления </t>
  </si>
  <si>
    <t>08 3 00 00110</t>
  </si>
  <si>
    <t>08 3 00 00190</t>
  </si>
  <si>
    <t>Управление транспорта администрации местного самоуправления города Владикавказа</t>
  </si>
  <si>
    <t>604</t>
  </si>
  <si>
    <t>Подпрограмма «Поддержка и развитие городского пассажирского транспорта»</t>
  </si>
  <si>
    <t xml:space="preserve">03 2 00 00000 </t>
  </si>
  <si>
    <t>Мероприятие «Обеспечение деятельности и выполнения функций УТ АМС г.Владикавказа»</t>
  </si>
  <si>
    <t>03 2 01 00000</t>
  </si>
  <si>
    <t>03 2 01 00110</t>
  </si>
  <si>
    <t>03 2 01 00190</t>
  </si>
  <si>
    <t>Мероприятие "Возмещение части затрат в связи с оказанием услуг населению г.Владикавказ МУП "Владтрамвай"</t>
  </si>
  <si>
    <t>03 2 02 00144</t>
  </si>
  <si>
    <t>Мероприятие "Приобретение трамваев"</t>
  </si>
  <si>
    <t>03 2 03 00209</t>
  </si>
  <si>
    <t>Управление благоустройства и озеленения администрации местного самоуправления г.Владикавказ</t>
  </si>
  <si>
    <t>605</t>
  </si>
  <si>
    <t>Лесное хозяйство</t>
  </si>
  <si>
    <t>Муниципальная программа "Благоустройство и озеленение г.Владикавказа"</t>
  </si>
  <si>
    <t>04 0 00 00000</t>
  </si>
  <si>
    <t>Мероприятие "Расходы на содержание МКУ "Владлес - Экология"</t>
  </si>
  <si>
    <t>04 0 09 00166</t>
  </si>
  <si>
    <t>Мероприятие "Обеспечение безопасности дорожного движения "</t>
  </si>
  <si>
    <t>04 0 13 00210</t>
  </si>
  <si>
    <t xml:space="preserve">Муниципальная программа "Благоустройство и озеленение г.Владикавказа" </t>
  </si>
  <si>
    <t>Мероприятие "Благоустройство парков, скверов и набережных"</t>
  </si>
  <si>
    <t>04 0 01 00160</t>
  </si>
  <si>
    <t>Мероприятие "Установка аншлагов"</t>
  </si>
  <si>
    <t>04 0 03 00161</t>
  </si>
  <si>
    <t>Мероприятие "Устройство остановочных сооружений"</t>
  </si>
  <si>
    <t>04 0 05 00162</t>
  </si>
  <si>
    <t>Мероприятие "Восстановительные работы из тротуарной плитки и декоративного камня, ремонт и приобретение малых архитектурных форм"</t>
  </si>
  <si>
    <t>04 0 06 00163</t>
  </si>
  <si>
    <t>Мероприятие "Подготовка проектно-сметной документации и эскизов проектов"</t>
  </si>
  <si>
    <t>04 0 07 00164</t>
  </si>
  <si>
    <t>Мероприятие "Озеленение"</t>
  </si>
  <si>
    <t>04 0 08 00165</t>
  </si>
  <si>
    <t>Мероприятие "Содержание учреждений подведомственных УБиО, осуществляющих санитарную очистку г.Владикавказ"</t>
  </si>
  <si>
    <t>04 0 10 00167</t>
  </si>
  <si>
    <t>Мероприятие "Прочие мероприятия по благоустройству городских округов и поселений"</t>
  </si>
  <si>
    <t>04 0 11 00168</t>
  </si>
  <si>
    <t>Муниципальная программа "Формирование современной городской среды на территории муниципального образования г.Владикавказ на 2018-2024 годы"</t>
  </si>
  <si>
    <t>13 0 00 00000</t>
  </si>
  <si>
    <t xml:space="preserve">Реализация мероприятий по формированию современной городской среды </t>
  </si>
  <si>
    <t>13 0 F2 55550</t>
  </si>
  <si>
    <t xml:space="preserve">Софинансирование на обеспечение мероприятий по формированию современной городской среды </t>
  </si>
  <si>
    <t>13 0 F2 55554</t>
  </si>
  <si>
    <t>Другие вопросы в области жилищно-коммунального хозяйства</t>
  </si>
  <si>
    <t>Мероприятие «Обеспечение деятельности и выполнения функций УБиО АМС г.Владикавказа»</t>
  </si>
  <si>
    <t>04 0 00 00110</t>
  </si>
  <si>
    <t>04 0 00 00190</t>
  </si>
  <si>
    <t>КУЛЬТУРА И КИНЕМАТОГРАФИЯ</t>
  </si>
  <si>
    <t>Субсидия на софинансирование расходов на обустройство и восстановление воинских захоронений</t>
  </si>
  <si>
    <t>04 0 0P L2990</t>
  </si>
  <si>
    <t>Софинансирование расходов на обустройство и восстановление воинских захоронений</t>
  </si>
  <si>
    <t>04 0 0М L2990</t>
  </si>
  <si>
    <t>Управление по строительству администрации местного самоуправления г.Владикавказ</t>
  </si>
  <si>
    <t>606</t>
  </si>
  <si>
    <t>Сельское хозяйство и рыболовство</t>
  </si>
  <si>
    <t>Муниципальная программа "Городская инвестиционная программа г.Владикавказа"</t>
  </si>
  <si>
    <t>10 0 00 00000</t>
  </si>
  <si>
    <t>Мероприятие "Строительство приюта для безнадзорных животных за счет средств местного бюджета"</t>
  </si>
  <si>
    <t>10 0 01 00169</t>
  </si>
  <si>
    <t>Мероприятие "Проектные работы"</t>
  </si>
  <si>
    <t>10 0 04 00172</t>
  </si>
  <si>
    <t>Мероприятие "Ремонт зданий муниципальной собственности"</t>
  </si>
  <si>
    <t>10 0 02 00170</t>
  </si>
  <si>
    <t>Мероприятие "Ремонт общежитий в г.Владикавказе"</t>
  </si>
  <si>
    <t>10 0 03 00171</t>
  </si>
  <si>
    <t>Жилищное хозяйство</t>
  </si>
  <si>
    <t>Мероприятие "Обеспечение условий доступности для инвалидов жилых помещений и общего имущества в многоквартирных домах г.Владикавказ"</t>
  </si>
  <si>
    <t>10 0 05 00173</t>
  </si>
  <si>
    <t>Коммунальное хозяйство</t>
  </si>
  <si>
    <t>Мероприятие "Реконструкция моста по ул.Кирова в г.Владикавказе"</t>
  </si>
  <si>
    <t>10 0 06 00174</t>
  </si>
  <si>
    <t>Мероприятие "Установка детских и спортивных площадок в г.Владикавказе"</t>
  </si>
  <si>
    <t>10 0 07 00175</t>
  </si>
  <si>
    <t>Другие вопросы в области образования</t>
  </si>
  <si>
    <t>Мероприятие "Ремонт школ и детских садов"</t>
  </si>
  <si>
    <t>10 0 08 00176</t>
  </si>
  <si>
    <t>Мероприятие "Реконструкция и реставрация МБУ ДО Детская музыкальная школа №1 им П.И. Чайковского в г.Владикавказ"</t>
  </si>
  <si>
    <t>10 0 09 00177</t>
  </si>
  <si>
    <t>Мероприятие "Капитальный ремонт МБУК "Централизованная библиотечная система г.Владикавказ"</t>
  </si>
  <si>
    <t>10 0 10 00178</t>
  </si>
  <si>
    <t>Мероприятие "Ремонт зданий учреждений культуры в г.Владикавказ"</t>
  </si>
  <si>
    <t>10 0 11 00179</t>
  </si>
  <si>
    <t>Мероприятие "Реконструкция ВМБУК "Центр по культуре и спорту микрорайона №1 г. Владикавказа (пос. Карца)"</t>
  </si>
  <si>
    <t>10 0 12 00180</t>
  </si>
  <si>
    <t>Администрация (префектура) внутригородского Затеречного района г.Владикавказа</t>
  </si>
  <si>
    <t>607</t>
  </si>
  <si>
    <t>Администрация (префектура) внутригородского Промышленного района г.Владикавказа</t>
  </si>
  <si>
    <t>608</t>
  </si>
  <si>
    <t>Комитет жилищно-коммунального хозяйства и энергетики администрации местного самоуправления города Владикавказа</t>
  </si>
  <si>
    <t>609</t>
  </si>
  <si>
    <t>Муниципальная программа "Развитие жилищно-коммунального хозяйства муниципального образования город Владикавказ"</t>
  </si>
  <si>
    <t>09 0 00 00000</t>
  </si>
  <si>
    <t>Подпрограмма "Обеспечение деятельности и выполнения функций Комитета ЖКХЭ"</t>
  </si>
  <si>
    <t xml:space="preserve">609 </t>
  </si>
  <si>
    <t>09 6 00 00000</t>
  </si>
  <si>
    <t>Мероприятие "Содержание приюта для безнадзорзорных животных"</t>
  </si>
  <si>
    <t>09 6 0Р 10607</t>
  </si>
  <si>
    <t>Подпрограмма "Ремонт зданий и объектов муниципальной собственности"</t>
  </si>
  <si>
    <t>09 2 00 00000</t>
  </si>
  <si>
    <t>Мероприятие "Ремонт квартир и объектов муниципальной собственности"</t>
  </si>
  <si>
    <t>09 2 01 00182</t>
  </si>
  <si>
    <t>Подпрограмма "Ремонт квартир и домовладений ветеранов и инвалидов"</t>
  </si>
  <si>
    <t>09 1 00 00000</t>
  </si>
  <si>
    <t>Мероприятие "Ремонт квартир и домовладений ветеранов и инвалидов"</t>
  </si>
  <si>
    <t>09 1 01 00181</t>
  </si>
  <si>
    <t>Подпрограмма "Снос аварийного жилья"</t>
  </si>
  <si>
    <t>09 5 00 00000</t>
  </si>
  <si>
    <t>Мероприятие "Обследование и подготовка технических заключений для ветхих и аварийных домов, разработка проектов, экспертная оценка за изымаемое жилье"</t>
  </si>
  <si>
    <t>09 5 01 00186</t>
  </si>
  <si>
    <t>Мероприятие "Разборка аварийных жилых домов"</t>
  </si>
  <si>
    <t>09 5 02 00187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</si>
  <si>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</si>
  <si>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09 6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</si>
  <si>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строительстваза счет средств республиканского бюджета</t>
  </si>
  <si>
    <t>09 6 F3 67484</t>
  </si>
  <si>
    <t>Софинансирование на обеспечение мероприятий по переселению граждан из аварийного жилищного фонда</t>
  </si>
  <si>
    <t>09 6 F3 6748S</t>
  </si>
  <si>
    <t>Софинансирование обеспечения мероприятий по капитальному ремонту многоквартирных домов за счет средств местного бюджета</t>
  </si>
  <si>
    <t xml:space="preserve"> 09 6 0М S9601</t>
  </si>
  <si>
    <t>Оплата взносов на капитальный ремонт за муниципальные жилые и нежилые помещения, находящиеся в муниципальной собственности</t>
  </si>
  <si>
    <t xml:space="preserve"> 09 6 04 00191</t>
  </si>
  <si>
    <t>Муниципальная программа "Переселение граждан из аварийных многоквартирных жилых домов"</t>
  </si>
  <si>
    <t>14 0 00 00000</t>
  </si>
  <si>
    <t>Субсидия на реализацию мероприятий по переселению жильцов из аварийного жилого дома по ул.Владикавказская, 34</t>
  </si>
  <si>
    <t>14 0 0Р 22940</t>
  </si>
  <si>
    <t>Софинансирование на реализацию мероприятий по переселению жильцов из аварийного жилого дома по ул.Владикавказская, 34</t>
  </si>
  <si>
    <t>14 0 0М 22940</t>
  </si>
  <si>
    <t>Подпрограмма "Энергосбережение и повышение энергетической эффективности"</t>
  </si>
  <si>
    <t>09 3 00 00000</t>
  </si>
  <si>
    <t>Мероприятие "Проектирование, строительство и ремонт сетей уличного освещения"</t>
  </si>
  <si>
    <t>09 3 01 00183</t>
  </si>
  <si>
    <t>Мероприятие "Приобретение энергосберегающего оборудования"</t>
  </si>
  <si>
    <t>09 3 02 00184</t>
  </si>
  <si>
    <t>Мероприятие "Техническое обслуживание сетей наружного освещения"</t>
  </si>
  <si>
    <t>09 3 03 00231</t>
  </si>
  <si>
    <t>Подпрограмма "Обеспечение безопасности и надежности систем инженерно-технического обеспечения"</t>
  </si>
  <si>
    <t>09 4 00 00000</t>
  </si>
  <si>
    <t>Мероприятие "Обеспечение безопасности и надежности систем инженерно-технического обеспечения"</t>
  </si>
  <si>
    <t>09 4 01 00185</t>
  </si>
  <si>
    <t>Мероприятие "Реконструкция и строительство канализационных очистных сооружений г.Владикавказа"</t>
  </si>
  <si>
    <t>09 4 02 00211</t>
  </si>
  <si>
    <t>Подпрограмма «Обеспечение деятельности и выполнения функций Комитета ЖКХЭ»</t>
  </si>
  <si>
    <t xml:space="preserve"> 09 6 00 00000</t>
  </si>
  <si>
    <t>Мероприятие "Аварийное обслуживание сетей ливневой канализации"</t>
  </si>
  <si>
    <t xml:space="preserve"> 09 6 06 00193</t>
  </si>
  <si>
    <t>Подпрограмма "Техническое переоснащение коммунальной инфраструктуры"</t>
  </si>
  <si>
    <t>09 7 00 00000</t>
  </si>
  <si>
    <t>Мероприятие "Техническое переоснащение коммунальной инфраструктуры"</t>
  </si>
  <si>
    <t>09 7 01 00212</t>
  </si>
  <si>
    <t>Мероприятие "Содержание бюджетных учреждений жилищно-коммунального хозяйства"</t>
  </si>
  <si>
    <t>09 6 02 00188</t>
  </si>
  <si>
    <t>Мероприятие "Уличное освещение, электрическая энергия"</t>
  </si>
  <si>
    <t xml:space="preserve"> 09 6 05 00192</t>
  </si>
  <si>
    <t>Мероприятие "Руководство и управление в сфере установленных функций органов местного самоуправления"</t>
  </si>
  <si>
    <t>09 6 00 00110</t>
  </si>
  <si>
    <t xml:space="preserve"> 09 6 00 00190</t>
  </si>
  <si>
    <t>Мероприятие "Содержание казенных учреждений жилищно-коммунального хозяйства"</t>
  </si>
  <si>
    <t xml:space="preserve"> 09 6 03 00189</t>
  </si>
  <si>
    <t>Финансовое управление администрации местного самоуправления г.Владикавказа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</si>
  <si>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</si>
  <si>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</si>
  <si>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Непрограммные расходы на обеспечение функционирования Финансового управления АМС  г.Владикавказ </t>
  </si>
  <si>
    <t>Расходы на выплаты персоналу Финансового управления АМС г.Владикавказ</t>
  </si>
  <si>
    <t>Расходы на обеспечение функций Финансового управления АМС г.Владикавказ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</si>
  <si>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</si>
  <si>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</si>
  <si>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99 9 00 00194</t>
  </si>
  <si>
    <t>Процентные платежи по долговым обязательствам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</si>
  <si>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</si>
  <si>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</si>
  <si>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</si>
  <si>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</si>
  <si>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Управление муниципального имущества и земельных ресурсов АМС г. Владикавказа</t>
  </si>
  <si>
    <t>611</t>
  </si>
  <si>
    <t>Управление образования АМС г.Владикавказа</t>
  </si>
  <si>
    <t>612</t>
  </si>
  <si>
    <t>Дошкольное образование</t>
  </si>
  <si>
    <t>Муниципальная программа «Развитие образования г.Владикавказа"</t>
  </si>
  <si>
    <t>07 0 00 00000</t>
  </si>
  <si>
    <t>Подпрограмма "Развитие системы общего и дополнительного образования"</t>
  </si>
  <si>
    <t>07 1 00 00000</t>
  </si>
  <si>
    <t>Финансовое обеспечение деятельности (оказания услуг) муниципальных дошкольных образовательных учреждений</t>
  </si>
  <si>
    <t>07 1 01 00000</t>
  </si>
  <si>
    <t>07 1 01 00197</t>
  </si>
  <si>
    <t>Осуществление полномочий Республики Северная Осетия-Алания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</si>
  <si>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07 1 0Р 21240</t>
  </si>
  <si>
    <t>Общее образование</t>
  </si>
  <si>
    <t>Финансовое обеспечение деятельности (оказания услуг) муниципальных образовательных школ</t>
  </si>
  <si>
    <t>07 1 02 00000</t>
  </si>
  <si>
    <t>07 1 02 00198</t>
  </si>
  <si>
    <t>Осуществление полномочий Республики Северная Осетия-Алания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</si>
  <si>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07 1 0Р 21280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</si>
  <si>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</si>
  <si>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 1 0Ф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</si>
  <si>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</si>
  <si>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1 0P R3040</t>
  </si>
  <si>
    <t>Организация бесплатного горячего питания обучающихся, признанных малоимущими, и обучающихся с ограниченными возможностями здоровья, получающих основное общее и срнднее общее образование</t>
  </si>
  <si>
    <t>07 1 0Р 10484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</si>
  <si>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</si>
  <si>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612 </t>
  </si>
  <si>
    <t>07 1 EВ 51790</t>
  </si>
  <si>
    <t>Финансовое обеспечение ежемесячной денежной выплаты учителям муниципальных общеобразовательных организаций, которым присвоен статус учителя-методиста, учителя-наставника</t>
  </si>
  <si>
    <t>07 1 0Р 10696</t>
  </si>
  <si>
    <t>Организация и проведение государственной итоговой аттестации обучающихся общеобразовательных организаций г.Владикавказа</t>
  </si>
  <si>
    <t>07 1 0Р 21580</t>
  </si>
  <si>
    <t>Подпрограмма "Социальная помощь населению: охрана семьи и детства"</t>
  </si>
  <si>
    <t>07 3 00 00000</t>
  </si>
  <si>
    <t>Мероприятие "Обеспечение горячим питанием детей из малообеспеченных семей"</t>
  </si>
  <si>
    <t>07 3 03 00000</t>
  </si>
  <si>
    <t>07 3 03 00207</t>
  </si>
  <si>
    <t>Финансовое обеспечение деятельности (оказания услуг) учреждений дополнительного образования</t>
  </si>
  <si>
    <t>07 1 03 00199</t>
  </si>
  <si>
    <t>Организация временного трудоустройства несовершеннолетних граждан в возрасте от 14 до 18 лет в свободное от учебы время</t>
  </si>
  <si>
    <t>07 1 06 00202</t>
  </si>
  <si>
    <t>Мероприятие "Развитие материально технической базы муниципальных  образовательных  учреждений"</t>
  </si>
  <si>
    <t>07 1 04 00200</t>
  </si>
  <si>
    <t>Мероприятие "Обеспечение безопасного пребывания детей в образовательных  учреждениях"</t>
  </si>
  <si>
    <t>07 1 05 00201</t>
  </si>
  <si>
    <t>Подпрограмма «Образование г.Владикавказа-образование будущего»</t>
  </si>
  <si>
    <t>07 2 00 00000</t>
  </si>
  <si>
    <t>Мероприятие "Обеспечение деятельности (оказания услуг) ВМКУ "Организационно-методический центр"</t>
  </si>
  <si>
    <t>07 2 01 00000</t>
  </si>
  <si>
    <t>07 2 01 00203</t>
  </si>
  <si>
    <t>Мероприятие "Проведение городских массовых мероприятий, в том числе направленных на поддержку детей с общеинтеллектуальной и творческой одаренностью"</t>
  </si>
  <si>
    <t>07 2 02 00204</t>
  </si>
  <si>
    <t>Мероприятие "Совершенствование мероприятий, направленных на повышение квалификации педагогических работников, развитие системы конкурсов профессионального мастерства и стимулирование труда работников образовательных организаций г.Владикавказа"</t>
  </si>
  <si>
    <t>07 2 03 00205</t>
  </si>
  <si>
    <t>Премии и гранты</t>
  </si>
  <si>
    <t>350</t>
  </si>
  <si>
    <t>Подпрограмма "Обеспечение создания условий для реализации муниципальной программы "Развитие образования г.Владикавказа на 2020 год и на плановый период 2021-2022 годы"</t>
  </si>
  <si>
    <t>07 4 00 00000</t>
  </si>
  <si>
    <t>Мероприятие "Обеспечение деятельности Управления образования АМС г.Владикавказа"</t>
  </si>
  <si>
    <t>Руководство и управление в сфере установленных функций органов государственной власти субъектов Российской и органов местного самоуправления</t>
  </si>
  <si>
    <t>07 4 00 00110</t>
  </si>
  <si>
    <t>07 4 00 00190</t>
  </si>
  <si>
    <t>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учреждениях республики в каникулярное время</t>
  </si>
  <si>
    <t>07 3 0Р 22270</t>
  </si>
  <si>
    <t>Мероприятие "Оказание адресной поддержки детям из малообеспеченных семей, в ходе подготовки к новому учебному году"</t>
  </si>
  <si>
    <t>07 3 02 00206</t>
  </si>
  <si>
    <t>Охрана семьи и детства</t>
  </si>
  <si>
    <t xml:space="preserve"> Компенсация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</si>
  <si>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>07 3 0Р 21650</t>
  </si>
  <si>
    <t>Публичные нормативные социальные выплаты гражданам</t>
  </si>
  <si>
    <t>Управление по контролю за городским хозяйством АМС г.Владикавказа</t>
  </si>
  <si>
    <t>613</t>
  </si>
  <si>
    <t>Собрание представителей г. Владикавказ</t>
  </si>
  <si>
    <t>643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</si>
  <si>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</si>
  <si>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представительного органа</t>
  </si>
  <si>
    <t>77 0 00 00000</t>
  </si>
  <si>
    <t>77 9 00 00000</t>
  </si>
  <si>
    <t>Глава муниципального образования</t>
  </si>
  <si>
    <t xml:space="preserve">77 9 00 00000 </t>
  </si>
  <si>
    <t>Расходы на выплаты по оплате труда работников представительного органа</t>
  </si>
  <si>
    <t>77 9 00 00110</t>
  </si>
  <si>
    <t xml:space="preserve">77 9 00 00110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</si>
  <si>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</si>
  <si>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на обеспечения функционирования Собрания представителей г.Владикавказ</t>
  </si>
  <si>
    <t>78 0 00 00000</t>
  </si>
  <si>
    <t>78 9 00 00000</t>
  </si>
  <si>
    <t>78 9 00 00110</t>
  </si>
  <si>
    <t>Расходы на обеспечение функций представительного органа</t>
  </si>
  <si>
    <t>78 9 00 00190</t>
  </si>
  <si>
    <t>Расходы на осуществление полномочий Республики Северная Осетия-Алания по организации деятельности административных комиссий</t>
  </si>
  <si>
    <t>99 9 0Р 22740</t>
  </si>
  <si>
    <t>Расходы на выплаты по оплате труда работников административной коммиссии</t>
  </si>
  <si>
    <t>Расходы на обеспечение функций административной коммиссии</t>
  </si>
  <si>
    <t>Контрольно-счетная палата муниципального образования г.Владикавказ (Дзауджикау)</t>
  </si>
  <si>
    <t>647</t>
  </si>
  <si>
    <t>Непрограммные расходы на обеспечение функционирования Контрольно-счетной палаты  муниципального образования г.Владикавказ (Дзауджикау)</t>
  </si>
  <si>
    <t>93 0 00 00000</t>
  </si>
  <si>
    <t>93 9 00 00000</t>
  </si>
  <si>
    <t>Расходы на выплаты персоналу Контрольно-счетной палаты муниципального образования г.Владикавказ (Дзауджикау)</t>
  </si>
  <si>
    <t>93 9 00 00110</t>
  </si>
  <si>
    <t>Расходы на обеспечение функций Контрольно-счетной палаты муниципального образования г.Владикавказ (Дзауджикау)</t>
  </si>
  <si>
    <t>93 9 00 00190</t>
  </si>
  <si>
    <t>Условно утвержденные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</si>
  <si>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</si>
  <si>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Финансовое обеспечение деятельности (оказания услуг)  муниципального учреждения ВМБУ РГГ "Владикавказ"</t>
  </si>
  <si>
    <t>Мероприятие "Разработка технических планов для регистрации права собственности на автомобильные дороги"</t>
  </si>
  <si>
    <t>Мероприятие "Оценка состояния искусственных сооружений (дорожных мостов,путепроводов) г.Владикавказа</t>
  </si>
  <si>
    <t>Подпрограмма «Содержание подведомственных учреждений УДСиОДД г. Владикавказа»</t>
  </si>
  <si>
    <t>Подпрограмма "Техническое переоснащение коммунальной инфраструктурыы"</t>
  </si>
  <si>
    <t>ВСЕГО</t>
  </si>
  <si>
    <t>02 0 01 00128</t>
  </si>
  <si>
    <t xml:space="preserve"> НАЦИОНАЛЬНАЯ ЭКОНОМИКА</t>
  </si>
  <si>
    <t xml:space="preserve"> Транспорт</t>
  </si>
  <si>
    <t xml:space="preserve">03 2 01 00000 </t>
  </si>
  <si>
    <t>Подпрограмма «Содержание подведомственных учреждений УДСиОДД  АМС г.Владикавказа»</t>
  </si>
  <si>
    <t xml:space="preserve"> Благоустройство</t>
  </si>
  <si>
    <t xml:space="preserve"> Лесное хозяйство</t>
  </si>
  <si>
    <t xml:space="preserve"> Другие вопросы в области национальной экономики</t>
  </si>
  <si>
    <t>Муниципальная программа «Развитие образования г. Владикавказа"</t>
  </si>
  <si>
    <t>07 1 03 00000</t>
  </si>
  <si>
    <t>07 1 04 00000</t>
  </si>
  <si>
    <t xml:space="preserve"> Другие вопросы в области образования</t>
  </si>
  <si>
    <t>07 1 05 00000</t>
  </si>
  <si>
    <t>07 1 06 00000</t>
  </si>
  <si>
    <t xml:space="preserve"> Социальное обеспечение населения</t>
  </si>
  <si>
    <t xml:space="preserve"> Охрана семьи и детства</t>
  </si>
  <si>
    <t>Подпрограмма «Развитие культурной жизни г.Владикавказа»</t>
  </si>
  <si>
    <t>Мероприятие "Издание и приобретение книг и иной печатной продукции, визуальной аудио продукции о г.Владикавказе, РСО-Алании"</t>
  </si>
  <si>
    <t>Подпрограмма  «Обеспечение деятельности муниципальных учреждений культуры г.Владикавказа»</t>
  </si>
  <si>
    <t xml:space="preserve"> Дополнительное образование детей</t>
  </si>
  <si>
    <t>Осуществление полномочий Республики Северная Осетия-Алания по организации и поддержки учреждений культуры</t>
  </si>
  <si>
    <t xml:space="preserve"> Жилищное хозяйство</t>
  </si>
  <si>
    <t>09  6 F3 67483</t>
  </si>
  <si>
    <t>Мероприятие "Расходы на содержание приюта для безнадзорзорных животных"</t>
  </si>
  <si>
    <t>Муниципальная программа"Городская инвестиционная программа г.Владикавказа"</t>
  </si>
  <si>
    <t>Подпрограмма "Реализация мероприятий в области  молодежной политики"</t>
  </si>
  <si>
    <t xml:space="preserve"> Другие вопросы в области физической культуры и спорта</t>
  </si>
  <si>
    <t>Подпрограмма "Укрепление общероссийской гражданской идентичности на основе духовно-нравственных и культурных ценностей народов Российской Фе-дерации"</t>
  </si>
  <si>
    <t>Непрограммные расходы органов местного самоуправления г.Владикавказ</t>
  </si>
  <si>
    <t>Обеспечение функционирования Главы муниципального образования</t>
  </si>
  <si>
    <t>Обеспечение функционирования Собрания представителей г.Владикавказ</t>
  </si>
  <si>
    <t>Обеспечение функционирования Контрольно-счетной палаты  муниципального образования г.Владикавказ (Дзауджикау)</t>
  </si>
  <si>
    <t xml:space="preserve">Обеспечение функционирования Финансового управления АМС  г.Владикавказ </t>
  </si>
  <si>
    <t>Расходы на выплаты по оплате труда работников Финансового управления АМС  г.Владикавказ</t>
  </si>
  <si>
    <t>Расходы на обеспечение функций Финансового управления АМС  г.Владикавказ</t>
  </si>
  <si>
    <t>Закупка товаров, работ и услуг для государственных (муниципальных) нужд</t>
  </si>
  <si>
    <t xml:space="preserve">Обеспечение функционирования органов местного самоуправления </t>
  </si>
  <si>
    <t>Расходы на учреждение по обеспечению хозяйственного обслуживания ВМКУ ТХО АМС г. Владикавказа</t>
  </si>
  <si>
    <t>Другие общегосударственные  вопросы</t>
  </si>
  <si>
    <t>Расходы на содержание МКУ "Правовое обеспечение"</t>
  </si>
  <si>
    <t>Уплата прочих налогов, сборов и иных платежей</t>
  </si>
  <si>
    <t xml:space="preserve">Расходы на обеспечение деятельности (оказания услуг)  муниципального учреждения ВМБУ РГГ "Владикавказ"   </t>
  </si>
  <si>
    <t>Организация временного трудоустройства безработных граждан; Занятость школьников в период летних каникул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</si>
  <si>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</si>
  <si>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</si>
  <si>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Обеспечение жильем молодых семей</t>
  </si>
  <si>
    <t>Реализация мероприятий по обеспечению жильем молодых семей за счет средств местного бюджета</t>
  </si>
  <si>
    <t>99 9 0Р 00000</t>
  </si>
  <si>
    <t>99 9 00 55491</t>
  </si>
  <si>
    <t xml:space="preserve"> Обеспечение деятельности финансовых, налоговых и таможенных
 органов и органов финансового (финансово-бюджетного) надзора</t>
  </si>
  <si>
    <t>ВСЕГО РАСХОДОВ:</t>
  </si>
  <si>
    <t>Раздел I. Субсидии некоммерческим организациям (за исключением государственных (муниципальных) учреждений)</t>
  </si>
  <si>
    <t>Мероприятие "Субсидия социально-ориентированным некоммерческим организациям патриотической направленности" (субсидия городскому совету Ветеранов)</t>
  </si>
  <si>
    <t>Раздел II.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</si>
  <si>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000 01 00 00 00 00 0000 000</t>
  </si>
  <si>
    <t>ИСТОЧНИКИ ВНУТРЕННЕГО ФИНАНСИРОВАНИЯ ДЕФИЦИТОВ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</si>
  <si>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</si>
  <si>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</si>
  <si>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</si>
  <si>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</si>
  <si>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</si>
  <si>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</si>
  <si>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</si>
  <si>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</si>
  <si>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</si>
  <si>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</si>
  <si>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</si>
  <si>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</si>
  <si>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</si>
  <si>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</si>
  <si>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</si>
  <si>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</si>
  <si>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</si>
  <si>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</si>
  <si>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</si>
  <si>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</si>
  <si>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</si>
  <si>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</si>
  <si>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</si>
  <si>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</si>
  <si>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</si>
  <si>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</si>
  <si>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</si>
  <si>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</si>
  <si>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</si>
  <si>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</si>
  <si>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</si>
  <si>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</si>
  <si>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</si>
  <si>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</si>
  <si>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</si>
  <si>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</si>
  <si>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</si>
  <si>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</si>
  <si>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</si>
  <si>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</si>
  <si>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</si>
  <si>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</si>
  <si>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Погашение кредитов, предоставленных кредитными организациями  в 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</si>
  <si>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</si>
  <si>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</si>
  <si>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</si>
  <si>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</si>
  <si>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</si>
  <si>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г.Владикавказ от 15 сентября 2023 года № 49/60</t>
  </si>
  <si>
    <t>г.Владикавказ от 15 сентября 2023 года №49/60</t>
  </si>
  <si>
    <t>к  решению Собрания представителей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</si>
</sst>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_-* #,##0.0_р_._-;\-* #,##0.0_р_._-;_-* &quot;-&quot;?_р_._-;_-@_-"/>
    <numFmt numFmtId="169" formatCode="#,##0.0_ ;\-#,##0.0\ "/>
    <numFmt numFmtId="170" formatCode="_-* #,##0.0\ _₽_-;\-* #,##0.0\ _₽_-;_-* &quot;-&quot;?\ _₽_-;_-@_-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"/>
      <color rgb="FF000000"/>
      <name val="Arial Cyr"/>
    </font>
    <font>
      <sz val="11"/>
      <name val="Arial Cyr"/>
      <charset val="204"/>
    </font>
    <font>
      <b/>
      <i/>
      <sz val="11"/>
      <name val="Arial Cyr"/>
      <charset val="204"/>
    </font>
    <font>
      <i/>
      <sz val="9"/>
      <name val="Arial Cyr"/>
      <charset val="204"/>
    </font>
    <font>
      <b/>
      <i/>
      <sz val="9"/>
      <name val="Arial Cyr"/>
      <charset val="204"/>
    </font>
    <font>
      <u/>
      <sz val="11"/>
      <name val="Times New Roman"/>
      <family val="1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0" fillId="0" borderId="3">
      <alignment horizontal="left" wrapText="1" indent="2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88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1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6" fontId="9" fillId="0" borderId="1" xfId="4" applyNumberFormat="1" applyFont="1" applyBorder="1" applyAlignment="1">
      <alignment horizontal="right" vertical="center" wrapText="1"/>
    </xf>
    <xf numFmtId="166" fontId="5" fillId="0" borderId="1" xfId="4" applyNumberFormat="1" applyFont="1" applyBorder="1" applyAlignment="1">
      <alignment horizontal="right" vertical="center" wrapText="1"/>
    </xf>
    <xf numFmtId="166" fontId="5" fillId="2" borderId="1" xfId="4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166" fontId="5" fillId="0" borderId="1" xfId="4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6" fontId="9" fillId="0" borderId="1" xfId="4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49" fontId="12" fillId="3" borderId="1" xfId="0" applyNumberFormat="1" applyFont="1" applyFill="1" applyBorder="1" applyAlignment="1">
      <alignment vertical="top" wrapText="1"/>
    </xf>
    <xf numFmtId="49" fontId="12" fillId="3" borderId="1" xfId="0" applyNumberFormat="1" applyFont="1" applyFill="1" applyBorder="1" applyAlignment="1">
      <alignment horizontal="center" vertical="center" wrapText="1"/>
    </xf>
    <xf numFmtId="167" fontId="12" fillId="3" borderId="1" xfId="4" applyNumberFormat="1" applyFont="1" applyFill="1" applyBorder="1" applyAlignment="1">
      <alignment horizontal="righ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7" fontId="16" fillId="3" borderId="1" xfId="4" applyNumberFormat="1" applyFont="1" applyFill="1" applyBorder="1" applyAlignment="1">
      <alignment horizontal="righ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167" fontId="10" fillId="3" borderId="1" xfId="4" applyNumberFormat="1" applyFont="1" applyFill="1" applyBorder="1" applyAlignment="1">
      <alignment horizontal="right" vertical="center" wrapText="1"/>
    </xf>
    <xf numFmtId="49" fontId="16" fillId="3" borderId="1" xfId="0" applyNumberFormat="1" applyFont="1" applyFill="1" applyBorder="1" applyAlignment="1">
      <alignment vertical="top" wrapText="1"/>
    </xf>
    <xf numFmtId="49" fontId="13" fillId="3" borderId="1" xfId="0" applyNumberFormat="1" applyFont="1" applyFill="1" applyBorder="1" applyAlignment="1">
      <alignment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167" fontId="13" fillId="3" borderId="1" xfId="4" applyNumberFormat="1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6" fontId="12" fillId="3" borderId="1" xfId="4" applyNumberFormat="1" applyFont="1" applyFill="1" applyBorder="1" applyAlignment="1">
      <alignment horizontal="right" vertical="center" wrapText="1"/>
    </xf>
    <xf numFmtId="166" fontId="10" fillId="3" borderId="1" xfId="4" applyNumberFormat="1" applyFont="1" applyFill="1" applyBorder="1" applyAlignment="1">
      <alignment horizontal="right" vertical="center" wrapText="1"/>
    </xf>
    <xf numFmtId="166" fontId="13" fillId="3" borderId="1" xfId="4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vertical="top" wrapText="1"/>
    </xf>
    <xf numFmtId="167" fontId="14" fillId="3" borderId="1" xfId="4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vertical="top" wrapText="1"/>
    </xf>
    <xf numFmtId="168" fontId="12" fillId="3" borderId="1" xfId="4" applyNumberFormat="1" applyFont="1" applyFill="1" applyBorder="1" applyAlignment="1">
      <alignment horizontal="right" vertical="center" wrapText="1"/>
    </xf>
    <xf numFmtId="168" fontId="10" fillId="3" borderId="1" xfId="4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vertical="top" wrapText="1"/>
    </xf>
    <xf numFmtId="166" fontId="16" fillId="3" borderId="1" xfId="4" applyNumberFormat="1" applyFont="1" applyFill="1" applyBorder="1" applyAlignment="1">
      <alignment horizontal="right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167" fontId="6" fillId="3" borderId="1" xfId="4" applyNumberFormat="1" applyFont="1" applyFill="1" applyBorder="1" applyAlignment="1">
      <alignment horizontal="righ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top" wrapText="1"/>
    </xf>
    <xf numFmtId="166" fontId="1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166" fontId="14" fillId="3" borderId="1" xfId="4" applyNumberFormat="1" applyFont="1" applyFill="1" applyBorder="1" applyAlignment="1">
      <alignment horizontal="right" vertical="center" wrapText="1"/>
    </xf>
    <xf numFmtId="49" fontId="12" fillId="3" borderId="1" xfId="0" applyNumberFormat="1" applyFont="1" applyFill="1" applyBorder="1" applyAlignment="1">
      <alignment wrapText="1"/>
    </xf>
    <xf numFmtId="49" fontId="10" fillId="3" borderId="1" xfId="0" applyNumberFormat="1" applyFont="1" applyFill="1" applyBorder="1" applyAlignment="1">
      <alignment wrapText="1"/>
    </xf>
    <xf numFmtId="167" fontId="6" fillId="3" borderId="1" xfId="0" applyNumberFormat="1" applyFont="1" applyFill="1" applyBorder="1"/>
    <xf numFmtId="49" fontId="10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vertical="top" wrapText="1"/>
    </xf>
    <xf numFmtId="167" fontId="16" fillId="6" borderId="1" xfId="4" applyNumberFormat="1" applyFont="1" applyFill="1" applyBorder="1" applyAlignment="1">
      <alignment horizontal="righ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170" fontId="10" fillId="3" borderId="1" xfId="4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70" fontId="12" fillId="3" borderId="1" xfId="4" applyNumberFormat="1" applyFont="1" applyFill="1" applyBorder="1" applyAlignment="1">
      <alignment horizontal="right" vertical="center" wrapText="1"/>
    </xf>
    <xf numFmtId="0" fontId="16" fillId="6" borderId="1" xfId="0" applyNumberFormat="1" applyFont="1" applyFill="1" applyBorder="1" applyAlignment="1">
      <alignment vertical="top" wrapText="1"/>
    </xf>
    <xf numFmtId="166" fontId="16" fillId="6" borderId="1" xfId="4" applyNumberFormat="1" applyFont="1" applyFill="1" applyBorder="1" applyAlignment="1">
      <alignment horizontal="righ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vertical="top" wrapText="1"/>
    </xf>
    <xf numFmtId="166" fontId="13" fillId="6" borderId="1" xfId="4" applyNumberFormat="1" applyFont="1" applyFill="1" applyBorder="1" applyAlignment="1">
      <alignment horizontal="right" vertical="center" wrapText="1"/>
    </xf>
    <xf numFmtId="167" fontId="13" fillId="6" borderId="1" xfId="4" applyNumberFormat="1" applyFont="1" applyFill="1" applyBorder="1" applyAlignment="1">
      <alignment horizontal="right" vertical="center" wrapText="1"/>
    </xf>
    <xf numFmtId="167" fontId="10" fillId="0" borderId="1" xfId="4" applyNumberFormat="1" applyFont="1" applyFill="1" applyBorder="1" applyAlignment="1">
      <alignment horizontal="right" vertical="center" wrapText="1"/>
    </xf>
    <xf numFmtId="167" fontId="12" fillId="5" borderId="1" xfId="4" applyNumberFormat="1" applyFont="1" applyFill="1" applyBorder="1" applyAlignment="1">
      <alignment horizontal="right" vertical="center" wrapText="1"/>
    </xf>
    <xf numFmtId="167" fontId="12" fillId="0" borderId="1" xfId="4" applyNumberFormat="1" applyFont="1" applyFill="1" applyBorder="1" applyAlignment="1">
      <alignment horizontal="right" vertical="center" wrapText="1"/>
    </xf>
    <xf numFmtId="167" fontId="6" fillId="7" borderId="1" xfId="4" applyNumberFormat="1" applyFont="1" applyFill="1" applyBorder="1" applyAlignment="1">
      <alignment horizontal="righ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NumberFormat="1" applyFont="1" applyFill="1" applyBorder="1" applyAlignment="1">
      <alignment vertical="top" wrapText="1"/>
    </xf>
    <xf numFmtId="167" fontId="12" fillId="6" borderId="1" xfId="4" applyNumberFormat="1" applyFont="1" applyFill="1" applyBorder="1" applyAlignment="1">
      <alignment horizontal="right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/>
    </xf>
    <xf numFmtId="49" fontId="13" fillId="6" borderId="1" xfId="0" applyNumberFormat="1" applyFont="1" applyFill="1" applyBorder="1" applyAlignment="1">
      <alignment horizontal="center" vertical="center" wrapText="1"/>
    </xf>
    <xf numFmtId="167" fontId="6" fillId="4" borderId="1" xfId="4" applyNumberFormat="1" applyFont="1" applyFill="1" applyBorder="1" applyAlignment="1">
      <alignment horizontal="right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vertical="top" wrapText="1"/>
    </xf>
    <xf numFmtId="167" fontId="13" fillId="0" borderId="1" xfId="4" applyNumberFormat="1" applyFont="1" applyFill="1" applyBorder="1" applyAlignment="1">
      <alignment horizontal="right" vertical="center" wrapText="1"/>
    </xf>
    <xf numFmtId="166" fontId="10" fillId="0" borderId="1" xfId="4" applyNumberFormat="1" applyFont="1" applyFill="1" applyBorder="1" applyAlignment="1">
      <alignment horizontal="right" vertical="center" wrapText="1"/>
    </xf>
    <xf numFmtId="167" fontId="10" fillId="0" borderId="1" xfId="4" applyNumberFormat="1" applyFont="1" applyFill="1" applyBorder="1" applyAlignment="1">
      <alignment horizontal="right" vertical="top" wrapText="1"/>
    </xf>
    <xf numFmtId="167" fontId="14" fillId="0" borderId="1" xfId="4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49" fontId="13" fillId="6" borderId="1" xfId="0" applyNumberFormat="1" applyFont="1" applyFill="1" applyBorder="1" applyAlignment="1">
      <alignment vertical="top" wrapText="1"/>
    </xf>
    <xf numFmtId="168" fontId="16" fillId="6" borderId="1" xfId="4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left" vertical="center" wrapText="1"/>
    </xf>
    <xf numFmtId="169" fontId="8" fillId="0" borderId="1" xfId="0" applyNumberFormat="1" applyFont="1" applyBorder="1" applyAlignment="1">
      <alignment horizontal="right" vertical="center" wrapText="1"/>
    </xf>
    <xf numFmtId="169" fontId="9" fillId="0" borderId="1" xfId="4" applyNumberFormat="1" applyFont="1" applyBorder="1" applyAlignment="1">
      <alignment horizontal="right" vertical="center" wrapText="1"/>
    </xf>
    <xf numFmtId="169" fontId="9" fillId="0" borderId="1" xfId="4" applyNumberFormat="1" applyFont="1" applyFill="1" applyBorder="1" applyAlignment="1">
      <alignment horizontal="right" vertical="center" wrapText="1"/>
    </xf>
    <xf numFmtId="166" fontId="12" fillId="0" borderId="1" xfId="4" applyNumberFormat="1" applyFont="1" applyFill="1" applyBorder="1" applyAlignment="1">
      <alignment horizontal="right" vertical="center" wrapText="1"/>
    </xf>
    <xf numFmtId="0" fontId="18" fillId="3" borderId="0" xfId="0" applyFont="1" applyFill="1" applyAlignment="1">
      <alignment horizontal="center" vertical="center"/>
    </xf>
    <xf numFmtId="49" fontId="13" fillId="0" borderId="1" xfId="0" applyNumberFormat="1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vertical="top" wrapText="1"/>
    </xf>
    <xf numFmtId="0" fontId="21" fillId="3" borderId="0" xfId="0" applyFont="1" applyFill="1" applyAlignment="1">
      <alignment horizontal="center" vertical="center"/>
    </xf>
    <xf numFmtId="0" fontId="6" fillId="3" borderId="1" xfId="0" applyNumberFormat="1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right" vertical="center" wrapText="1"/>
    </xf>
    <xf numFmtId="0" fontId="17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168" fontId="6" fillId="3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 vertical="center"/>
    </xf>
    <xf numFmtId="170" fontId="10" fillId="0" borderId="1" xfId="4" applyNumberFormat="1" applyFont="1" applyFill="1" applyBorder="1" applyAlignment="1">
      <alignment horizontal="right" vertical="center" wrapText="1"/>
    </xf>
    <xf numFmtId="0" fontId="1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0" fontId="22" fillId="0" borderId="0" xfId="0" applyFont="1" applyFill="1" applyAlignment="1">
      <alignment horizontal="center" vertical="center"/>
    </xf>
    <xf numFmtId="0" fontId="0" fillId="0" borderId="0" xfId="0" applyFont="1" applyFill="1"/>
    <xf numFmtId="166" fontId="13" fillId="0" borderId="1" xfId="4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23" fillId="0" borderId="0" xfId="0" applyFont="1" applyFill="1" applyAlignment="1">
      <alignment horizontal="center" vertical="center"/>
    </xf>
    <xf numFmtId="49" fontId="13" fillId="3" borderId="1" xfId="0" applyNumberFormat="1" applyFont="1" applyFill="1" applyBorder="1" applyAlignment="1">
      <alignment wrapText="1"/>
    </xf>
    <xf numFmtId="0" fontId="23" fillId="3" borderId="0" xfId="0" applyFont="1" applyFill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top" wrapText="1"/>
    </xf>
    <xf numFmtId="167" fontId="5" fillId="8" borderId="1" xfId="4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49" fontId="8" fillId="8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horizontal="right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66" fontId="4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166" fontId="8" fillId="2" borderId="1" xfId="4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166" fontId="4" fillId="3" borderId="1" xfId="4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166" fontId="16" fillId="3" borderId="1" xfId="4" applyNumberFormat="1" applyFont="1" applyFill="1" applyBorder="1" applyAlignment="1">
      <alignment horizontal="center" vertical="center" wrapText="1"/>
    </xf>
    <xf numFmtId="167" fontId="4" fillId="3" borderId="1" xfId="4" applyNumberFormat="1" applyFont="1" applyFill="1" applyBorder="1" applyAlignment="1">
      <alignment horizontal="righ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/>
    </xf>
    <xf numFmtId="166" fontId="8" fillId="8" borderId="1" xfId="0" applyNumberFormat="1" applyFont="1" applyFill="1" applyBorder="1" applyAlignment="1">
      <alignment vertical="top" wrapText="1"/>
    </xf>
    <xf numFmtId="0" fontId="13" fillId="3" borderId="1" xfId="0" applyNumberFormat="1" applyFont="1" applyFill="1" applyBorder="1" applyAlignment="1">
      <alignment vertical="top" wrapText="1"/>
    </xf>
    <xf numFmtId="169" fontId="5" fillId="0" borderId="1" xfId="4" applyNumberFormat="1" applyFont="1" applyBorder="1" applyAlignment="1">
      <alignment horizontal="right" vertical="center" wrapText="1"/>
    </xf>
    <xf numFmtId="0" fontId="9" fillId="0" borderId="1" xfId="0" applyNumberFormat="1" applyFont="1" applyBorder="1" applyAlignment="1">
      <alignment vertical="top" wrapText="1"/>
    </xf>
    <xf numFmtId="0" fontId="0" fillId="3" borderId="0" xfId="0" applyFont="1" applyFill="1"/>
    <xf numFmtId="0" fontId="26" fillId="3" borderId="0" xfId="0" applyFont="1" applyFill="1"/>
    <xf numFmtId="0" fontId="23" fillId="3" borderId="0" xfId="0" applyFont="1" applyFill="1"/>
    <xf numFmtId="0" fontId="19" fillId="3" borderId="0" xfId="0" applyFont="1" applyFill="1"/>
    <xf numFmtId="0" fontId="18" fillId="3" borderId="0" xfId="0" applyFont="1" applyFill="1"/>
    <xf numFmtId="0" fontId="24" fillId="3" borderId="0" xfId="0" applyFont="1" applyFill="1" applyAlignment="1">
      <alignment horizontal="center" vertical="center"/>
    </xf>
    <xf numFmtId="49" fontId="16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vertical="top" wrapText="1"/>
    </xf>
    <xf numFmtId="167" fontId="11" fillId="3" borderId="1" xfId="4" applyNumberFormat="1" applyFont="1" applyFill="1" applyBorder="1" applyAlignment="1">
      <alignment horizontal="right" vertical="center" wrapText="1"/>
    </xf>
    <xf numFmtId="49" fontId="13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center" wrapText="1"/>
    </xf>
    <xf numFmtId="168" fontId="13" fillId="3" borderId="1" xfId="4" applyNumberFormat="1" applyFont="1" applyFill="1" applyBorder="1" applyAlignment="1">
      <alignment horizontal="right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167" fontId="12" fillId="3" borderId="1" xfId="4" applyNumberFormat="1" applyFont="1" applyFill="1" applyBorder="1" applyAlignment="1">
      <alignment horizontal="right" vertical="center"/>
    </xf>
    <xf numFmtId="0" fontId="14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7" fontId="10" fillId="3" borderId="1" xfId="4" applyNumberFormat="1" applyFont="1" applyFill="1" applyBorder="1" applyAlignment="1">
      <alignment horizontal="right" vertical="top" wrapText="1"/>
    </xf>
    <xf numFmtId="0" fontId="14" fillId="3" borderId="1" xfId="0" applyNumberFormat="1" applyFont="1" applyFill="1" applyBorder="1" applyAlignment="1">
      <alignment vertical="top" wrapText="1"/>
    </xf>
    <xf numFmtId="166" fontId="11" fillId="3" borderId="1" xfId="4" applyNumberFormat="1" applyFont="1" applyFill="1" applyBorder="1" applyAlignment="1">
      <alignment horizontal="right" vertical="center" wrapText="1"/>
    </xf>
    <xf numFmtId="166" fontId="12" fillId="3" borderId="1" xfId="0" applyNumberFormat="1" applyFont="1" applyFill="1" applyBorder="1" applyAlignment="1">
      <alignment vertical="top" wrapText="1"/>
    </xf>
    <xf numFmtId="166" fontId="10" fillId="3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7" fontId="12" fillId="3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0" fillId="0" borderId="0" xfId="0" applyFont="1"/>
    <xf numFmtId="0" fontId="24" fillId="3" borderId="0" xfId="0" applyFont="1" applyFill="1"/>
    <xf numFmtId="0" fontId="0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12" fillId="0" borderId="4" xfId="0" applyFont="1" applyBorder="1" applyAlignment="1">
      <alignment horizontal="center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8" borderId="5" xfId="0" applyFont="1" applyFill="1" applyBorder="1" applyAlignment="1">
      <alignment horizontal="center" vertical="center" wrapText="1"/>
    </xf>
    <xf numFmtId="167" fontId="5" fillId="8" borderId="1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vertical="top" wrapText="1"/>
    </xf>
    <xf numFmtId="166" fontId="4" fillId="0" borderId="1" xfId="4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vertical="top" wrapText="1"/>
    </xf>
    <xf numFmtId="49" fontId="5" fillId="4" borderId="1" xfId="0" applyNumberFormat="1" applyFont="1" applyFill="1" applyBorder="1" applyAlignment="1">
      <alignment horizontal="center" vertical="center" wrapText="1"/>
    </xf>
    <xf numFmtId="167" fontId="5" fillId="4" borderId="1" xfId="4" applyNumberFormat="1" applyFont="1" applyFill="1" applyBorder="1" applyAlignment="1">
      <alignment horizontal="right" vertical="center" wrapText="1"/>
    </xf>
    <xf numFmtId="165" fontId="12" fillId="3" borderId="1" xfId="4" applyNumberFormat="1" applyFont="1" applyFill="1" applyBorder="1" applyAlignment="1">
      <alignment horizontal="right" vertical="center" wrapText="1"/>
    </xf>
    <xf numFmtId="165" fontId="10" fillId="3" borderId="1" xfId="4" applyNumberFormat="1" applyFont="1" applyFill="1" applyBorder="1" applyAlignment="1">
      <alignment horizontal="right" vertical="center" wrapText="1"/>
    </xf>
    <xf numFmtId="49" fontId="13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vertical="center" wrapText="1"/>
    </xf>
    <xf numFmtId="165" fontId="13" fillId="3" borderId="1" xfId="4" applyNumberFormat="1" applyFont="1" applyFill="1" applyBorder="1" applyAlignment="1">
      <alignment horizontal="right" vertical="center" wrapText="1"/>
    </xf>
    <xf numFmtId="165" fontId="13" fillId="0" borderId="1" xfId="4" applyNumberFormat="1" applyFont="1" applyFill="1" applyBorder="1" applyAlignment="1">
      <alignment horizontal="right" vertical="center" wrapText="1"/>
    </xf>
    <xf numFmtId="165" fontId="12" fillId="0" borderId="1" xfId="4" applyNumberFormat="1" applyFont="1" applyFill="1" applyBorder="1" applyAlignment="1">
      <alignment horizontal="right" vertical="center" wrapText="1"/>
    </xf>
    <xf numFmtId="165" fontId="10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16" fillId="6" borderId="1" xfId="0" applyNumberFormat="1" applyFont="1" applyFill="1" applyBorder="1" applyAlignment="1">
      <alignment wrapText="1"/>
    </xf>
    <xf numFmtId="0" fontId="10" fillId="0" borderId="2" xfId="0" applyFont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8" fontId="4" fillId="0" borderId="2" xfId="4" applyNumberFormat="1" applyFont="1" applyFill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0" xfId="0" applyFont="1" applyFill="1"/>
    <xf numFmtId="0" fontId="5" fillId="0" borderId="0" xfId="0" applyFont="1" applyFill="1" applyAlignment="1">
      <alignment horizontal="center"/>
    </xf>
    <xf numFmtId="0" fontId="12" fillId="3" borderId="6" xfId="0" applyFont="1" applyFill="1" applyBorder="1" applyAlignment="1">
      <alignment horizontal="left" vertical="top" wrapText="1"/>
    </xf>
    <xf numFmtId="0" fontId="12" fillId="3" borderId="7" xfId="0" applyFont="1" applyFill="1" applyBorder="1" applyAlignment="1">
      <alignment horizontal="left" vertical="top" wrapText="1"/>
    </xf>
    <xf numFmtId="0" fontId="12" fillId="3" borderId="8" xfId="0" applyFont="1" applyFill="1" applyBorder="1" applyAlignment="1">
      <alignment horizontal="left" vertical="top" wrapText="1"/>
    </xf>
    <xf numFmtId="166" fontId="4" fillId="0" borderId="2" xfId="4" applyNumberFormat="1" applyFont="1" applyFill="1" applyBorder="1" applyAlignment="1">
      <alignment horizontal="right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7" fillId="0" borderId="0" xfId="0" applyNumberFormat="1" applyFont="1" applyFill="1" applyAlignment="1">
      <alignment horizontal="center" vertical="top" wrapText="1"/>
    </xf>
    <xf numFmtId="0" fontId="12" fillId="0" borderId="6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right" wrapText="1"/>
    </xf>
  </cellXfs>
  <cellStyles count="5">
    <cellStyle name="xl30" xfId="1"/>
    <cellStyle name="Обычный" xfId="0" builtinId="0"/>
    <cellStyle name="Тысячи [0]_Лист1" xfId="2"/>
    <cellStyle name="Тысячи_Лист1" xfId="3"/>
    <cellStyle name="Финансовый" xfId="4" builtinId="3"/>
  </cellStyles>
  <dxfs count="0"/>
  <tableStyles count="0" defaultTableStyle="TableStyleMedium2" defaultPivotStyle="PivotStyleLight16"/>
  <colors>
    <mruColors>
      <color rgb="FF9966FF"/>
      <color rgb="FFCC0000"/>
      <color rgb="FFFF99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2"/>
  <sheetViews>
    <sheetView view="pageBreakPreview" topLeftCell="A79" zoomScale="120" zoomScaleNormal="100" zoomScaleSheetLayoutView="120" workbookViewId="0">
      <selection activeCell="A3" sqref="A3:E3"/>
    </sheetView>
  </sheetViews>
  <sheetFormatPr defaultRowHeight="12.75" x14ac:dyDescent="0.2"/>
  <cols>
    <col min="1" max="1" width="28.140625" style="224" customWidth="1"/>
    <col min="2" max="2" width="44.7109375" style="224" customWidth="1"/>
    <col min="3" max="5" width="15.28515625" style="224" customWidth="1"/>
    <col min="6" max="16384" width="9.140625" style="224"/>
  </cols>
  <sheetData>
    <row r="1" spans="1:5" ht="15" x14ac:dyDescent="0.25">
      <c r="A1" s="255" t="s">
        <v>25</v>
      </c>
      <c r="B1" s="255"/>
      <c r="C1" s="255"/>
      <c r="D1" s="255"/>
      <c r="E1" s="255"/>
    </row>
    <row r="2" spans="1:5" ht="15" x14ac:dyDescent="0.25">
      <c r="A2" s="255" t="s">
        <v>41</v>
      </c>
      <c r="B2" s="255"/>
      <c r="C2" s="255"/>
      <c r="D2" s="255"/>
      <c r="E2" s="255"/>
    </row>
    <row r="3" spans="1:5" ht="15" x14ac:dyDescent="0.25">
      <c r="A3" s="255" t="s">
        <v>884</v>
      </c>
      <c r="B3" s="255"/>
      <c r="C3" s="255"/>
      <c r="D3" s="255"/>
      <c r="E3" s="255"/>
    </row>
    <row r="4" spans="1:5" ht="15" x14ac:dyDescent="0.25">
      <c r="A4" s="255" t="s">
        <v>20</v>
      </c>
      <c r="B4" s="255"/>
      <c r="C4" s="255"/>
      <c r="D4" s="255"/>
      <c r="E4" s="255"/>
    </row>
    <row r="5" spans="1:5" ht="15" x14ac:dyDescent="0.25">
      <c r="A5" s="255" t="s">
        <v>21</v>
      </c>
      <c r="B5" s="255"/>
      <c r="C5" s="255"/>
      <c r="D5" s="255"/>
      <c r="E5" s="255"/>
    </row>
    <row r="6" spans="1:5" ht="15" x14ac:dyDescent="0.25">
      <c r="A6" s="255" t="s">
        <v>28</v>
      </c>
      <c r="B6" s="255"/>
      <c r="C6" s="255"/>
      <c r="D6" s="255"/>
      <c r="E6" s="255"/>
    </row>
    <row r="7" spans="1:5" ht="15" x14ac:dyDescent="0.25">
      <c r="A7" s="255" t="s">
        <v>26</v>
      </c>
      <c r="B7" s="255"/>
      <c r="C7" s="255"/>
      <c r="D7" s="255"/>
      <c r="E7" s="255"/>
    </row>
    <row r="8" spans="1:5" x14ac:dyDescent="0.2">
      <c r="A8" s="15"/>
      <c r="B8" s="4"/>
      <c r="C8" s="4"/>
      <c r="D8" s="4"/>
      <c r="E8" s="4"/>
    </row>
    <row r="9" spans="1:5" ht="15" x14ac:dyDescent="0.25">
      <c r="A9" s="253" t="s">
        <v>25</v>
      </c>
      <c r="B9" s="253"/>
      <c r="C9" s="253"/>
      <c r="D9" s="253"/>
      <c r="E9" s="253"/>
    </row>
    <row r="10" spans="1:5" ht="15" x14ac:dyDescent="0.25">
      <c r="A10" s="253" t="s">
        <v>22</v>
      </c>
      <c r="B10" s="253"/>
      <c r="C10" s="253"/>
      <c r="D10" s="253"/>
      <c r="E10" s="253"/>
    </row>
    <row r="11" spans="1:5" ht="15" x14ac:dyDescent="0.25">
      <c r="A11" s="253" t="s">
        <v>27</v>
      </c>
      <c r="B11" s="253"/>
      <c r="C11" s="253"/>
      <c r="D11" s="253"/>
      <c r="E11" s="253"/>
    </row>
    <row r="12" spans="1:5" ht="15" x14ac:dyDescent="0.25">
      <c r="A12" s="253" t="s">
        <v>23</v>
      </c>
      <c r="B12" s="253"/>
      <c r="C12" s="253"/>
      <c r="D12" s="253"/>
      <c r="E12" s="253"/>
    </row>
    <row r="13" spans="1:5" ht="15" x14ac:dyDescent="0.25">
      <c r="A13" s="253" t="s">
        <v>24</v>
      </c>
      <c r="B13" s="253"/>
      <c r="C13" s="253"/>
      <c r="D13" s="253"/>
      <c r="E13" s="253"/>
    </row>
    <row r="14" spans="1:5" ht="15" x14ac:dyDescent="0.25">
      <c r="A14" s="221"/>
      <c r="B14" s="221"/>
      <c r="C14" s="221"/>
      <c r="D14" s="221"/>
      <c r="E14" s="221"/>
    </row>
    <row r="15" spans="1:5" ht="15.75" x14ac:dyDescent="0.25">
      <c r="A15" s="254" t="s">
        <v>36</v>
      </c>
      <c r="B15" s="254"/>
      <c r="C15" s="254"/>
      <c r="D15" s="254"/>
      <c r="E15" s="254"/>
    </row>
    <row r="16" spans="1:5" ht="15.75" customHeight="1" x14ac:dyDescent="0.25">
      <c r="A16" s="254" t="s">
        <v>11</v>
      </c>
      <c r="B16" s="254"/>
      <c r="C16" s="254"/>
      <c r="D16" s="254"/>
      <c r="E16" s="254"/>
    </row>
    <row r="17" spans="1:5" ht="15.75" customHeight="1" x14ac:dyDescent="0.25">
      <c r="A17" s="254" t="s">
        <v>37</v>
      </c>
      <c r="B17" s="254"/>
      <c r="C17" s="254"/>
      <c r="D17" s="254"/>
      <c r="E17" s="254"/>
    </row>
    <row r="18" spans="1:5" x14ac:dyDescent="0.2">
      <c r="A18" s="252" t="s">
        <v>12</v>
      </c>
      <c r="B18" s="252"/>
      <c r="C18" s="252"/>
      <c r="D18" s="252"/>
      <c r="E18" s="252"/>
    </row>
    <row r="19" spans="1:5" ht="37.9" customHeight="1" x14ac:dyDescent="0.2">
      <c r="A19" s="222" t="s">
        <v>38</v>
      </c>
      <c r="B19" s="222" t="s">
        <v>39</v>
      </c>
      <c r="C19" s="163" t="s">
        <v>31</v>
      </c>
      <c r="D19" s="163" t="s">
        <v>32</v>
      </c>
      <c r="E19" s="163" t="s">
        <v>33</v>
      </c>
    </row>
    <row r="20" spans="1:5" s="144" customFormat="1" ht="28.5" x14ac:dyDescent="0.2">
      <c r="A20" s="164" t="s">
        <v>107</v>
      </c>
      <c r="B20" s="165" t="s">
        <v>44</v>
      </c>
      <c r="C20" s="166">
        <f>C21+C23+C25+C29+C33+C34+C40+C42+C43+C46+C47</f>
        <v>3480827</v>
      </c>
      <c r="D20" s="166">
        <f>D21+D23+D25+D29+D33+D34+D40+D42+D43+D46+D47</f>
        <v>3420991</v>
      </c>
      <c r="E20" s="166">
        <f>E21+E23+E25+E29+E33+E34+E40+E42+E43+E46+E47</f>
        <v>3547827</v>
      </c>
    </row>
    <row r="21" spans="1:5" s="144" customFormat="1" x14ac:dyDescent="0.2">
      <c r="A21" s="17" t="s">
        <v>108</v>
      </c>
      <c r="B21" s="16" t="s">
        <v>45</v>
      </c>
      <c r="C21" s="167">
        <f>C22</f>
        <v>1453250</v>
      </c>
      <c r="D21" s="167">
        <f t="shared" ref="D21:E21" si="0">D22</f>
        <v>1484000</v>
      </c>
      <c r="E21" s="167">
        <f t="shared" si="0"/>
        <v>1538000</v>
      </c>
    </row>
    <row r="22" spans="1:5" s="144" customFormat="1" x14ac:dyDescent="0.2">
      <c r="A22" s="18" t="s">
        <v>109</v>
      </c>
      <c r="B22" s="168" t="s">
        <v>46</v>
      </c>
      <c r="C22" s="169">
        <f>1367650+83000+2600</f>
        <v>1453250</v>
      </c>
      <c r="D22" s="169">
        <f>1410000+74000</f>
        <v>1484000</v>
      </c>
      <c r="E22" s="169">
        <f>1450000+88000</f>
        <v>1538000</v>
      </c>
    </row>
    <row r="23" spans="1:5" s="144" customFormat="1" ht="25.5" x14ac:dyDescent="0.2">
      <c r="A23" s="174" t="s">
        <v>110</v>
      </c>
      <c r="B23" s="66" t="s">
        <v>47</v>
      </c>
      <c r="C23" s="175">
        <f>C24</f>
        <v>21717</v>
      </c>
      <c r="D23" s="175">
        <f t="shared" ref="D23:E23" si="1">D24</f>
        <v>22591</v>
      </c>
      <c r="E23" s="175">
        <f t="shared" si="1"/>
        <v>24077</v>
      </c>
    </row>
    <row r="24" spans="1:5" s="144" customFormat="1" ht="25.5" x14ac:dyDescent="0.2">
      <c r="A24" s="177" t="s">
        <v>111</v>
      </c>
      <c r="B24" s="178" t="s">
        <v>48</v>
      </c>
      <c r="C24" s="179">
        <v>21717</v>
      </c>
      <c r="D24" s="179">
        <v>22591</v>
      </c>
      <c r="E24" s="179">
        <v>24077</v>
      </c>
    </row>
    <row r="25" spans="1:5" s="144" customFormat="1" x14ac:dyDescent="0.2">
      <c r="A25" s="170" t="s">
        <v>112</v>
      </c>
      <c r="B25" s="16" t="s">
        <v>49</v>
      </c>
      <c r="C25" s="167">
        <f>C26+C27+C28</f>
        <v>1245300</v>
      </c>
      <c r="D25" s="167">
        <f>D26+D27+D28</f>
        <v>1225500</v>
      </c>
      <c r="E25" s="167">
        <f>E26+E27+E28</f>
        <v>1242400</v>
      </c>
    </row>
    <row r="26" spans="1:5" s="144" customFormat="1" ht="25.5" x14ac:dyDescent="0.2">
      <c r="A26" s="18" t="s">
        <v>113</v>
      </c>
      <c r="B26" s="168" t="s">
        <v>50</v>
      </c>
      <c r="C26" s="169">
        <f>1111360+80640</f>
        <v>1192000</v>
      </c>
      <c r="D26" s="169">
        <f>1125000+34000</f>
        <v>1159000</v>
      </c>
      <c r="E26" s="169">
        <f>1135000+35000</f>
        <v>1170000</v>
      </c>
    </row>
    <row r="27" spans="1:5" s="144" customFormat="1" x14ac:dyDescent="0.2">
      <c r="A27" s="18" t="s">
        <v>114</v>
      </c>
      <c r="B27" s="168" t="s">
        <v>51</v>
      </c>
      <c r="C27" s="169">
        <f>10500-3000</f>
        <v>7500</v>
      </c>
      <c r="D27" s="169">
        <f>11000+2000</f>
        <v>13000</v>
      </c>
      <c r="E27" s="169">
        <f>11400+4000</f>
        <v>15400</v>
      </c>
    </row>
    <row r="28" spans="1:5" s="144" customFormat="1" ht="25.5" x14ac:dyDescent="0.2">
      <c r="A28" s="171" t="s">
        <v>115</v>
      </c>
      <c r="B28" s="168" t="s">
        <v>52</v>
      </c>
      <c r="C28" s="169">
        <v>45800</v>
      </c>
      <c r="D28" s="169">
        <f>46500+7000</f>
        <v>53500</v>
      </c>
      <c r="E28" s="169">
        <f>47000+10000</f>
        <v>57000</v>
      </c>
    </row>
    <row r="29" spans="1:5" s="144" customFormat="1" x14ac:dyDescent="0.2">
      <c r="A29" s="170" t="s">
        <v>116</v>
      </c>
      <c r="B29" s="16" t="s">
        <v>53</v>
      </c>
      <c r="C29" s="167">
        <f>C30+C31+C32</f>
        <v>423660</v>
      </c>
      <c r="D29" s="167">
        <f>D30+D31+D32</f>
        <v>422800</v>
      </c>
      <c r="E29" s="167">
        <f>E30+E31+E32</f>
        <v>470500</v>
      </c>
    </row>
    <row r="30" spans="1:5" s="144" customFormat="1" x14ac:dyDescent="0.2">
      <c r="A30" s="18" t="s">
        <v>117</v>
      </c>
      <c r="B30" s="168" t="s">
        <v>54</v>
      </c>
      <c r="C30" s="169">
        <f>86500+10300</f>
        <v>96800</v>
      </c>
      <c r="D30" s="169">
        <f>88800+10000</f>
        <v>98800</v>
      </c>
      <c r="E30" s="169">
        <f>91500+20000</f>
        <v>111500</v>
      </c>
    </row>
    <row r="31" spans="1:5" s="144" customFormat="1" x14ac:dyDescent="0.2">
      <c r="A31" s="18" t="s">
        <v>118</v>
      </c>
      <c r="B31" s="168" t="s">
        <v>55</v>
      </c>
      <c r="C31" s="169">
        <f>125000+3000</f>
        <v>128000</v>
      </c>
      <c r="D31" s="169">
        <f>127000+11000</f>
        <v>138000</v>
      </c>
      <c r="E31" s="169">
        <f>130000+30000</f>
        <v>160000</v>
      </c>
    </row>
    <row r="32" spans="1:5" s="144" customFormat="1" x14ac:dyDescent="0.2">
      <c r="A32" s="18" t="s">
        <v>119</v>
      </c>
      <c r="B32" s="168" t="s">
        <v>56</v>
      </c>
      <c r="C32" s="169">
        <f>170000+28860</f>
        <v>198860</v>
      </c>
      <c r="D32" s="169">
        <f>172000+14000</f>
        <v>186000</v>
      </c>
      <c r="E32" s="169">
        <f>173000+26000</f>
        <v>199000</v>
      </c>
    </row>
    <row r="33" spans="1:5" s="144" customFormat="1" x14ac:dyDescent="0.2">
      <c r="A33" s="170" t="s">
        <v>120</v>
      </c>
      <c r="B33" s="16" t="s">
        <v>57</v>
      </c>
      <c r="C33" s="167">
        <f>62050-400</f>
        <v>61650</v>
      </c>
      <c r="D33" s="167">
        <v>64000</v>
      </c>
      <c r="E33" s="167">
        <f>64500+3000</f>
        <v>67500</v>
      </c>
    </row>
    <row r="34" spans="1:5" s="144" customFormat="1" ht="25.5" x14ac:dyDescent="0.2">
      <c r="A34" s="170" t="s">
        <v>121</v>
      </c>
      <c r="B34" s="16" t="s">
        <v>58</v>
      </c>
      <c r="C34" s="167">
        <f>C35+C36+C37+C38+C39</f>
        <v>148580</v>
      </c>
      <c r="D34" s="167">
        <f>D35+D36+D37+D38+D39</f>
        <v>157980</v>
      </c>
      <c r="E34" s="167">
        <f>E35+E36+E37+E38+E39</f>
        <v>162980</v>
      </c>
    </row>
    <row r="35" spans="1:5" s="144" customFormat="1" ht="76.5" x14ac:dyDescent="0.2">
      <c r="A35" s="177" t="s">
        <v>122</v>
      </c>
      <c r="B35" s="178" t="s">
        <v>59</v>
      </c>
      <c r="C35" s="179">
        <f>100000</f>
        <v>100000</v>
      </c>
      <c r="D35" s="179">
        <v>110000</v>
      </c>
      <c r="E35" s="179">
        <v>115000</v>
      </c>
    </row>
    <row r="36" spans="1:5" s="144" customFormat="1" ht="63.75" x14ac:dyDescent="0.2">
      <c r="A36" s="18" t="s">
        <v>123</v>
      </c>
      <c r="B36" s="168" t="s">
        <v>60</v>
      </c>
      <c r="C36" s="169">
        <v>10500</v>
      </c>
      <c r="D36" s="169">
        <v>10000</v>
      </c>
      <c r="E36" s="169">
        <v>10000</v>
      </c>
    </row>
    <row r="37" spans="1:5" s="144" customFormat="1" ht="76.5" x14ac:dyDescent="0.2">
      <c r="A37" s="171" t="s">
        <v>124</v>
      </c>
      <c r="B37" s="168" t="s">
        <v>61</v>
      </c>
      <c r="C37" s="169">
        <v>2000</v>
      </c>
      <c r="D37" s="169">
        <v>2000</v>
      </c>
      <c r="E37" s="169">
        <v>2000</v>
      </c>
    </row>
    <row r="38" spans="1:5" s="144" customFormat="1" ht="102" x14ac:dyDescent="0.2">
      <c r="A38" s="171" t="s">
        <v>125</v>
      </c>
      <c r="B38" s="168" t="s">
        <v>62</v>
      </c>
      <c r="C38" s="169">
        <v>35980</v>
      </c>
      <c r="D38" s="169">
        <v>35980</v>
      </c>
      <c r="E38" s="169">
        <v>35980</v>
      </c>
    </row>
    <row r="39" spans="1:5" s="144" customFormat="1" ht="51" x14ac:dyDescent="0.2">
      <c r="A39" s="18" t="s">
        <v>126</v>
      </c>
      <c r="B39" s="168" t="s">
        <v>63</v>
      </c>
      <c r="C39" s="169">
        <v>100</v>
      </c>
      <c r="D39" s="169"/>
      <c r="E39" s="169"/>
    </row>
    <row r="40" spans="1:5" s="144" customFormat="1" x14ac:dyDescent="0.2">
      <c r="A40" s="170" t="s">
        <v>127</v>
      </c>
      <c r="B40" s="16" t="s">
        <v>64</v>
      </c>
      <c r="C40" s="167">
        <f>C41</f>
        <v>4020</v>
      </c>
      <c r="D40" s="167">
        <f t="shared" ref="D40:E40" si="2">D41</f>
        <v>4020</v>
      </c>
      <c r="E40" s="167">
        <f t="shared" si="2"/>
        <v>4020</v>
      </c>
    </row>
    <row r="41" spans="1:5" s="144" customFormat="1" ht="25.5" x14ac:dyDescent="0.2">
      <c r="A41" s="18" t="s">
        <v>128</v>
      </c>
      <c r="B41" s="168" t="s">
        <v>65</v>
      </c>
      <c r="C41" s="169">
        <v>4020</v>
      </c>
      <c r="D41" s="169">
        <v>4020</v>
      </c>
      <c r="E41" s="169">
        <v>4020</v>
      </c>
    </row>
    <row r="42" spans="1:5" s="144" customFormat="1" ht="25.5" x14ac:dyDescent="0.2">
      <c r="A42" s="170" t="s">
        <v>129</v>
      </c>
      <c r="B42" s="16" t="s">
        <v>66</v>
      </c>
      <c r="C42" s="167">
        <v>1250</v>
      </c>
      <c r="D42" s="167">
        <v>1300</v>
      </c>
      <c r="E42" s="167">
        <v>1350</v>
      </c>
    </row>
    <row r="43" spans="1:5" s="144" customFormat="1" ht="25.5" x14ac:dyDescent="0.2">
      <c r="A43" s="170" t="s">
        <v>130</v>
      </c>
      <c r="B43" s="16" t="s">
        <v>67</v>
      </c>
      <c r="C43" s="167">
        <f>C44+C45</f>
        <v>71000</v>
      </c>
      <c r="D43" s="167">
        <f>D44+D45</f>
        <v>26000</v>
      </c>
      <c r="E43" s="167">
        <f>E44+E45</f>
        <v>24000</v>
      </c>
    </row>
    <row r="44" spans="1:5" s="144" customFormat="1" ht="89.25" x14ac:dyDescent="0.2">
      <c r="A44" s="177" t="s">
        <v>131</v>
      </c>
      <c r="B44" s="178" t="s">
        <v>68</v>
      </c>
      <c r="C44" s="179">
        <f>6000+10000+5000</f>
        <v>21000</v>
      </c>
      <c r="D44" s="179">
        <v>6000</v>
      </c>
      <c r="E44" s="179">
        <v>6000</v>
      </c>
    </row>
    <row r="45" spans="1:5" s="144" customFormat="1" ht="51" x14ac:dyDescent="0.2">
      <c r="A45" s="177" t="s">
        <v>132</v>
      </c>
      <c r="B45" s="178" t="s">
        <v>69</v>
      </c>
      <c r="C45" s="179">
        <f>30000+15000+5000</f>
        <v>50000</v>
      </c>
      <c r="D45" s="179">
        <v>20000</v>
      </c>
      <c r="E45" s="179">
        <v>18000</v>
      </c>
    </row>
    <row r="46" spans="1:5" s="144" customFormat="1" x14ac:dyDescent="0.2">
      <c r="A46" s="17" t="s">
        <v>133</v>
      </c>
      <c r="B46" s="16" t="s">
        <v>70</v>
      </c>
      <c r="C46" s="167">
        <v>7500</v>
      </c>
      <c r="D46" s="167">
        <v>7800</v>
      </c>
      <c r="E46" s="167">
        <v>8000</v>
      </c>
    </row>
    <row r="47" spans="1:5" s="144" customFormat="1" x14ac:dyDescent="0.2">
      <c r="A47" s="6" t="s">
        <v>134</v>
      </c>
      <c r="B47" s="16" t="s">
        <v>71</v>
      </c>
      <c r="C47" s="167">
        <f>7900+35000</f>
        <v>42900</v>
      </c>
      <c r="D47" s="167">
        <v>5000</v>
      </c>
      <c r="E47" s="167">
        <v>5000</v>
      </c>
    </row>
    <row r="48" spans="1:5" s="144" customFormat="1" ht="14.25" x14ac:dyDescent="0.2">
      <c r="A48" s="164" t="s">
        <v>135</v>
      </c>
      <c r="B48" s="172" t="s">
        <v>72</v>
      </c>
      <c r="C48" s="173">
        <f>C49+C53+C61+C71</f>
        <v>4215655.93829</v>
      </c>
      <c r="D48" s="173">
        <f>D49+D53+D61+D71</f>
        <v>3688603.8769999999</v>
      </c>
      <c r="E48" s="173">
        <f>E49+E53+E61+E71</f>
        <v>3195484.351999999</v>
      </c>
    </row>
    <row r="49" spans="1:5" s="176" customFormat="1" ht="25.5" x14ac:dyDescent="0.2">
      <c r="A49" s="174" t="s">
        <v>136</v>
      </c>
      <c r="B49" s="66" t="s">
        <v>73</v>
      </c>
      <c r="C49" s="175">
        <f>SUM(C50:C52)</f>
        <v>359024</v>
      </c>
      <c r="D49" s="175">
        <f>SUM(D50:D52)</f>
        <v>261762</v>
      </c>
      <c r="E49" s="175">
        <f>SUM(E50:E52)</f>
        <v>254240</v>
      </c>
    </row>
    <row r="50" spans="1:5" s="176" customFormat="1" ht="38.25" x14ac:dyDescent="0.2">
      <c r="A50" s="177" t="s">
        <v>137</v>
      </c>
      <c r="B50" s="178" t="s">
        <v>74</v>
      </c>
      <c r="C50" s="179">
        <v>311388</v>
      </c>
      <c r="D50" s="179">
        <f>227889+33873</f>
        <v>261762</v>
      </c>
      <c r="E50" s="179">
        <f>239283+14957</f>
        <v>254240</v>
      </c>
    </row>
    <row r="51" spans="1:5" s="176" customFormat="1" ht="25.5" x14ac:dyDescent="0.2">
      <c r="A51" s="177" t="s">
        <v>138</v>
      </c>
      <c r="B51" s="178" t="s">
        <v>75</v>
      </c>
      <c r="C51" s="179">
        <f>38948-2266</f>
        <v>36682</v>
      </c>
      <c r="D51" s="179"/>
      <c r="E51" s="179"/>
    </row>
    <row r="52" spans="1:5" s="176" customFormat="1" ht="38.25" x14ac:dyDescent="0.2">
      <c r="A52" s="18" t="s">
        <v>139</v>
      </c>
      <c r="B52" s="178" t="s">
        <v>76</v>
      </c>
      <c r="C52" s="235">
        <v>10954</v>
      </c>
      <c r="D52" s="235">
        <v>0</v>
      </c>
      <c r="E52" s="179"/>
    </row>
    <row r="53" spans="1:5" s="176" customFormat="1" ht="38.25" x14ac:dyDescent="0.2">
      <c r="A53" s="174" t="s">
        <v>140</v>
      </c>
      <c r="B53" s="66" t="s">
        <v>77</v>
      </c>
      <c r="C53" s="175">
        <f>SUM(C54:C60)</f>
        <v>292854.16760000004</v>
      </c>
      <c r="D53" s="175">
        <f>D54+D56+D57+D58+D59+D60</f>
        <v>195702.573</v>
      </c>
      <c r="E53" s="175">
        <f>E54+E56+E57+E58+E59+E60</f>
        <v>179973.8</v>
      </c>
    </row>
    <row r="54" spans="1:5" s="176" customFormat="1" ht="89.25" x14ac:dyDescent="0.2">
      <c r="A54" s="177" t="s">
        <v>141</v>
      </c>
      <c r="B54" s="178" t="s">
        <v>78</v>
      </c>
      <c r="C54" s="179">
        <v>176397</v>
      </c>
      <c r="D54" s="179">
        <v>179793.5</v>
      </c>
      <c r="E54" s="179">
        <v>179793.5</v>
      </c>
    </row>
    <row r="55" spans="1:5" s="176" customFormat="1" ht="114.75" x14ac:dyDescent="0.2">
      <c r="A55" s="177" t="s">
        <v>142</v>
      </c>
      <c r="B55" s="180" t="s">
        <v>79</v>
      </c>
      <c r="C55" s="179">
        <v>7261.3924399999996</v>
      </c>
      <c r="D55" s="179"/>
      <c r="E55" s="179"/>
    </row>
    <row r="56" spans="1:5" s="176" customFormat="1" ht="89.25" x14ac:dyDescent="0.2">
      <c r="A56" s="177" t="s">
        <v>143</v>
      </c>
      <c r="B56" s="178" t="s">
        <v>80</v>
      </c>
      <c r="C56" s="179">
        <v>1052.0808199999999</v>
      </c>
      <c r="D56" s="179"/>
      <c r="E56" s="179"/>
    </row>
    <row r="57" spans="1:5" s="176" customFormat="1" ht="89.25" x14ac:dyDescent="0.2">
      <c r="A57" s="177" t="s">
        <v>144</v>
      </c>
      <c r="B57" s="178" t="s">
        <v>81</v>
      </c>
      <c r="C57" s="179">
        <v>677.33900000000006</v>
      </c>
      <c r="D57" s="179">
        <v>1768.5730000000001</v>
      </c>
      <c r="E57" s="179">
        <v>0</v>
      </c>
    </row>
    <row r="58" spans="1:5" s="176" customFormat="1" ht="25.5" x14ac:dyDescent="0.2">
      <c r="A58" s="36" t="s">
        <v>145</v>
      </c>
      <c r="B58" s="178" t="s">
        <v>82</v>
      </c>
      <c r="C58" s="179">
        <f>11106.8+9215.85088</f>
        <v>20322.650880000001</v>
      </c>
      <c r="D58" s="179">
        <v>13850.2</v>
      </c>
      <c r="E58" s="179">
        <f>13297.1-13297.1</f>
        <v>0</v>
      </c>
    </row>
    <row r="59" spans="1:5" s="176" customFormat="1" ht="25.5" x14ac:dyDescent="0.2">
      <c r="A59" s="36" t="s">
        <v>146</v>
      </c>
      <c r="B59" s="178" t="s">
        <v>83</v>
      </c>
      <c r="C59" s="179">
        <v>290.27006</v>
      </c>
      <c r="D59" s="179">
        <f>316.8-26.5</f>
        <v>290.3</v>
      </c>
      <c r="E59" s="179">
        <v>180.3</v>
      </c>
    </row>
    <row r="60" spans="1:5" s="176" customFormat="1" ht="51" x14ac:dyDescent="0.2">
      <c r="A60" s="36" t="s">
        <v>147</v>
      </c>
      <c r="B60" s="178" t="s">
        <v>84</v>
      </c>
      <c r="C60" s="179">
        <v>86853.434399999998</v>
      </c>
      <c r="D60" s="179">
        <v>0</v>
      </c>
      <c r="E60" s="179">
        <v>0</v>
      </c>
    </row>
    <row r="61" spans="1:5" s="176" customFormat="1" ht="25.5" x14ac:dyDescent="0.2">
      <c r="A61" s="174" t="s">
        <v>148</v>
      </c>
      <c r="B61" s="66" t="s">
        <v>85</v>
      </c>
      <c r="C61" s="175">
        <f>C62+C69+C70</f>
        <v>2302716.63</v>
      </c>
      <c r="D61" s="175">
        <f>D62+D69+D70</f>
        <v>2430248.4</v>
      </c>
      <c r="E61" s="175">
        <f>E62+E69+E70</f>
        <v>2483773.2999999993</v>
      </c>
    </row>
    <row r="62" spans="1:5" s="176" customFormat="1" ht="40.5" x14ac:dyDescent="0.2">
      <c r="A62" s="181" t="s">
        <v>149</v>
      </c>
      <c r="B62" s="182" t="s">
        <v>86</v>
      </c>
      <c r="C62" s="183">
        <f>C63+C64+C65+C66+C67+C68</f>
        <v>2285194.83</v>
      </c>
      <c r="D62" s="183">
        <f>D63+D64+D65+D66+D67+D68</f>
        <v>2412725.2999999998</v>
      </c>
      <c r="E62" s="183">
        <f>E63+E64+E65+E66+E67+E68</f>
        <v>2466252.4999999995</v>
      </c>
    </row>
    <row r="63" spans="1:5" s="176" customFormat="1" ht="76.5" x14ac:dyDescent="0.2">
      <c r="A63" s="177" t="s">
        <v>150</v>
      </c>
      <c r="B63" s="178" t="s">
        <v>87</v>
      </c>
      <c r="C63" s="179">
        <f>1078328.3+30673-20000-70257.19</f>
        <v>1018744.1100000001</v>
      </c>
      <c r="D63" s="179">
        <v>1120834</v>
      </c>
      <c r="E63" s="179">
        <v>1144371.5</v>
      </c>
    </row>
    <row r="64" spans="1:5" s="176" customFormat="1" ht="89.25" x14ac:dyDescent="0.2">
      <c r="A64" s="177" t="s">
        <v>151</v>
      </c>
      <c r="B64" s="178" t="s">
        <v>88</v>
      </c>
      <c r="C64" s="179">
        <f>1218538.6+32600-62380</f>
        <v>1188758.6000000001</v>
      </c>
      <c r="D64" s="179">
        <v>1241014</v>
      </c>
      <c r="E64" s="179">
        <v>1267626.8999999999</v>
      </c>
    </row>
    <row r="65" spans="1:5" s="176" customFormat="1" ht="38.25" x14ac:dyDescent="0.2">
      <c r="A65" s="177" t="s">
        <v>152</v>
      </c>
      <c r="B65" s="178" t="s">
        <v>89</v>
      </c>
      <c r="C65" s="179">
        <v>20157.12</v>
      </c>
      <c r="D65" s="179"/>
      <c r="E65" s="179"/>
    </row>
    <row r="66" spans="1:5" s="176" customFormat="1" ht="51" x14ac:dyDescent="0.2">
      <c r="A66" s="177" t="s">
        <v>153</v>
      </c>
      <c r="B66" s="178" t="s">
        <v>90</v>
      </c>
      <c r="C66" s="179">
        <f>43030+3770-1664</f>
        <v>45136</v>
      </c>
      <c r="D66" s="179">
        <v>45511.3</v>
      </c>
      <c r="E66" s="179">
        <v>48788.3</v>
      </c>
    </row>
    <row r="67" spans="1:5" s="176" customFormat="1" ht="51" x14ac:dyDescent="0.2">
      <c r="A67" s="177" t="s">
        <v>154</v>
      </c>
      <c r="B67" s="178" t="s">
        <v>91</v>
      </c>
      <c r="C67" s="179">
        <f>2388+11</f>
        <v>2399</v>
      </c>
      <c r="D67" s="179">
        <f>2483.6+11.4</f>
        <v>2495</v>
      </c>
      <c r="E67" s="179">
        <f>2582.9+11.9</f>
        <v>2594.8000000000002</v>
      </c>
    </row>
    <row r="68" spans="1:5" s="176" customFormat="1" ht="51" x14ac:dyDescent="0.2">
      <c r="A68" s="177" t="s">
        <v>155</v>
      </c>
      <c r="B68" s="178" t="s">
        <v>92</v>
      </c>
      <c r="C68" s="179">
        <f>15000-5000</f>
        <v>10000</v>
      </c>
      <c r="D68" s="179">
        <v>2871</v>
      </c>
      <c r="E68" s="179">
        <v>2871</v>
      </c>
    </row>
    <row r="69" spans="1:5" s="176" customFormat="1" ht="67.5" x14ac:dyDescent="0.2">
      <c r="A69" s="181" t="s">
        <v>156</v>
      </c>
      <c r="B69" s="182" t="s">
        <v>93</v>
      </c>
      <c r="C69" s="183">
        <v>17500</v>
      </c>
      <c r="D69" s="183">
        <v>17500</v>
      </c>
      <c r="E69" s="183">
        <v>17500</v>
      </c>
    </row>
    <row r="70" spans="1:5" s="176" customFormat="1" ht="67.5" x14ac:dyDescent="0.2">
      <c r="A70" s="181" t="s">
        <v>157</v>
      </c>
      <c r="B70" s="182" t="s">
        <v>94</v>
      </c>
      <c r="C70" s="183">
        <v>21.8</v>
      </c>
      <c r="D70" s="183">
        <v>23.1</v>
      </c>
      <c r="E70" s="183">
        <v>20.8</v>
      </c>
    </row>
    <row r="71" spans="1:5" s="176" customFormat="1" x14ac:dyDescent="0.2">
      <c r="A71" s="174" t="s">
        <v>158</v>
      </c>
      <c r="B71" s="66" t="s">
        <v>95</v>
      </c>
      <c r="C71" s="64">
        <f>SUM(C72:C81)</f>
        <v>1261061.14069</v>
      </c>
      <c r="D71" s="64">
        <f>SUM(D72:D81)</f>
        <v>800890.90399999998</v>
      </c>
      <c r="E71" s="64">
        <f>SUM(E72:E81)</f>
        <v>277497.25199999998</v>
      </c>
    </row>
    <row r="72" spans="1:5" s="176" customFormat="1" ht="89.25" x14ac:dyDescent="0.2">
      <c r="A72" s="36" t="s">
        <v>159</v>
      </c>
      <c r="B72" s="178" t="s">
        <v>96</v>
      </c>
      <c r="C72" s="179">
        <v>2114.6469999999999</v>
      </c>
      <c r="D72" s="179">
        <v>8164.6</v>
      </c>
      <c r="E72" s="179">
        <v>8164.6</v>
      </c>
    </row>
    <row r="73" spans="1:5" s="176" customFormat="1" ht="63.75" x14ac:dyDescent="0.2">
      <c r="A73" s="177" t="s">
        <v>160</v>
      </c>
      <c r="B73" s="178" t="s">
        <v>97</v>
      </c>
      <c r="C73" s="184">
        <v>99603</v>
      </c>
      <c r="D73" s="184">
        <v>99603</v>
      </c>
      <c r="E73" s="184">
        <v>99603</v>
      </c>
    </row>
    <row r="74" spans="1:5" s="176" customFormat="1" ht="63.75" x14ac:dyDescent="0.2">
      <c r="A74" s="177" t="s">
        <v>161</v>
      </c>
      <c r="B74" s="178" t="s">
        <v>98</v>
      </c>
      <c r="C74" s="179">
        <v>575606</v>
      </c>
      <c r="D74" s="179">
        <v>518289</v>
      </c>
      <c r="E74" s="179">
        <v>0</v>
      </c>
    </row>
    <row r="75" spans="1:5" s="176" customFormat="1" ht="51" x14ac:dyDescent="0.2">
      <c r="A75" s="177" t="s">
        <v>162</v>
      </c>
      <c r="B75" s="178" t="s">
        <v>99</v>
      </c>
      <c r="C75" s="179">
        <v>26360</v>
      </c>
      <c r="D75" s="179">
        <v>0</v>
      </c>
      <c r="E75" s="179">
        <v>0</v>
      </c>
    </row>
    <row r="76" spans="1:5" s="176" customFormat="1" ht="76.5" x14ac:dyDescent="0.2">
      <c r="A76" s="36" t="s">
        <v>163</v>
      </c>
      <c r="B76" s="178" t="s">
        <v>100</v>
      </c>
      <c r="C76" s="179">
        <f>174834.304+11159.636+0.0012</f>
        <v>185993.9412</v>
      </c>
      <c r="D76" s="179">
        <v>174834.304</v>
      </c>
      <c r="E76" s="179">
        <v>169729.652</v>
      </c>
    </row>
    <row r="77" spans="1:5" s="176" customFormat="1" ht="102" x14ac:dyDescent="0.2">
      <c r="A77" s="36" t="s">
        <v>164</v>
      </c>
      <c r="B77" s="178" t="s">
        <v>101</v>
      </c>
      <c r="C77" s="179">
        <f>31600-11492.80751+15800</f>
        <v>35907.192490000001</v>
      </c>
      <c r="D77" s="179">
        <v>0</v>
      </c>
      <c r="E77" s="179">
        <v>0</v>
      </c>
    </row>
    <row r="78" spans="1:5" s="176" customFormat="1" ht="76.5" x14ac:dyDescent="0.2">
      <c r="A78" s="36" t="s">
        <v>165</v>
      </c>
      <c r="B78" s="178" t="s">
        <v>102</v>
      </c>
      <c r="C78" s="179">
        <v>1594</v>
      </c>
      <c r="D78" s="179">
        <v>0</v>
      </c>
      <c r="E78" s="179">
        <v>0</v>
      </c>
    </row>
    <row r="79" spans="1:5" s="3" customFormat="1" ht="51" x14ac:dyDescent="0.2">
      <c r="A79" s="36" t="s">
        <v>166</v>
      </c>
      <c r="B79" s="178" t="s">
        <v>103</v>
      </c>
      <c r="C79" s="179">
        <f>403885.3-80000</f>
        <v>323885.3</v>
      </c>
      <c r="D79" s="179">
        <v>0</v>
      </c>
      <c r="E79" s="179">
        <v>0</v>
      </c>
    </row>
    <row r="80" spans="1:5" ht="63.75" x14ac:dyDescent="0.2">
      <c r="A80" s="36" t="s">
        <v>167</v>
      </c>
      <c r="B80" s="178" t="s">
        <v>104</v>
      </c>
      <c r="C80" s="179">
        <v>7600</v>
      </c>
      <c r="D80" s="179">
        <v>0</v>
      </c>
      <c r="E80" s="179">
        <v>0</v>
      </c>
    </row>
    <row r="81" spans="1:5" ht="15.75" customHeight="1" x14ac:dyDescent="0.2">
      <c r="A81" s="36" t="s">
        <v>168</v>
      </c>
      <c r="B81" s="178" t="s">
        <v>105</v>
      </c>
      <c r="C81" s="179">
        <v>2397.06</v>
      </c>
      <c r="D81" s="179"/>
      <c r="E81" s="179"/>
    </row>
    <row r="82" spans="1:5" ht="14.25" x14ac:dyDescent="0.2">
      <c r="A82" s="185" t="s">
        <v>169</v>
      </c>
      <c r="B82" s="186" t="s">
        <v>106</v>
      </c>
      <c r="C82" s="173">
        <f>C20+C48</f>
        <v>7696482.93829</v>
      </c>
      <c r="D82" s="173">
        <f>D20+D48</f>
        <v>7109594.8770000003</v>
      </c>
      <c r="E82" s="173">
        <f>E20+E48</f>
        <v>6743311.351999999</v>
      </c>
    </row>
  </sheetData>
  <mergeCells count="16">
    <mergeCell ref="A1:E1"/>
    <mergeCell ref="A2:E2"/>
    <mergeCell ref="A3:E3"/>
    <mergeCell ref="A4:E4"/>
    <mergeCell ref="A5:E5"/>
    <mergeCell ref="A6:E6"/>
    <mergeCell ref="A7:E7"/>
    <mergeCell ref="A9:E9"/>
    <mergeCell ref="A10:E10"/>
    <mergeCell ref="A15:E15"/>
    <mergeCell ref="A18:E18"/>
    <mergeCell ref="A11:E11"/>
    <mergeCell ref="A12:E12"/>
    <mergeCell ref="A13:E13"/>
    <mergeCell ref="A16:E16"/>
    <mergeCell ref="A17:E17"/>
  </mergeCells>
  <pageMargins left="0.39370078740157483" right="0.39370078740157483" top="0.39370078740157483" bottom="0.39370078740157483" header="0" footer="0"/>
  <pageSetup paperSize="9" scale="8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3"/>
  </sheetPr>
  <dimension ref="A1:I1141"/>
  <sheetViews>
    <sheetView view="pageBreakPreview" topLeftCell="A136" zoomScale="110" zoomScaleNormal="100" zoomScaleSheetLayoutView="110" workbookViewId="0">
      <selection activeCell="A3" sqref="A3:I3"/>
    </sheetView>
  </sheetViews>
  <sheetFormatPr defaultColWidth="9.140625" defaultRowHeight="12.75" x14ac:dyDescent="0.2"/>
  <cols>
    <col min="1" max="1" width="90.85546875" style="15" customWidth="1"/>
    <col min="2" max="2" width="8.28515625" style="4" customWidth="1"/>
    <col min="3" max="3" width="7.7109375" style="4" customWidth="1"/>
    <col min="4" max="4" width="7" style="4" customWidth="1"/>
    <col min="5" max="5" width="13.42578125" style="4" customWidth="1"/>
    <col min="6" max="6" width="9" style="4" customWidth="1"/>
    <col min="7" max="7" width="14.42578125" style="144" customWidth="1"/>
    <col min="8" max="8" width="14.28515625" style="144" customWidth="1"/>
    <col min="9" max="9" width="14.42578125" style="144" customWidth="1"/>
    <col min="10" max="16384" width="9.140625" style="144"/>
  </cols>
  <sheetData>
    <row r="1" spans="1:9" ht="13.9" customHeight="1" x14ac:dyDescent="0.25">
      <c r="A1" s="255" t="s">
        <v>29</v>
      </c>
      <c r="B1" s="255"/>
      <c r="C1" s="255"/>
      <c r="D1" s="255"/>
      <c r="E1" s="255"/>
      <c r="F1" s="255"/>
      <c r="G1" s="255"/>
      <c r="H1" s="255"/>
      <c r="I1" s="255"/>
    </row>
    <row r="2" spans="1:9" ht="15" x14ac:dyDescent="0.25">
      <c r="A2" s="255" t="s">
        <v>41</v>
      </c>
      <c r="B2" s="255"/>
      <c r="C2" s="255"/>
      <c r="D2" s="255"/>
      <c r="E2" s="255"/>
      <c r="F2" s="255"/>
      <c r="G2" s="255"/>
      <c r="H2" s="255"/>
      <c r="I2" s="255"/>
    </row>
    <row r="3" spans="1:9" ht="15" x14ac:dyDescent="0.25">
      <c r="A3" s="255" t="s">
        <v>885</v>
      </c>
      <c r="B3" s="255"/>
      <c r="C3" s="255"/>
      <c r="D3" s="255"/>
      <c r="E3" s="255"/>
      <c r="F3" s="255"/>
      <c r="G3" s="255"/>
      <c r="H3" s="255"/>
      <c r="I3" s="255"/>
    </row>
    <row r="4" spans="1:9" ht="15" x14ac:dyDescent="0.25">
      <c r="A4" s="255" t="s">
        <v>20</v>
      </c>
      <c r="B4" s="255"/>
      <c r="C4" s="255"/>
      <c r="D4" s="255"/>
      <c r="E4" s="255"/>
      <c r="F4" s="255"/>
      <c r="G4" s="255"/>
      <c r="H4" s="255"/>
      <c r="I4" s="255"/>
    </row>
    <row r="5" spans="1:9" ht="15" x14ac:dyDescent="0.25">
      <c r="A5" s="255" t="s">
        <v>21</v>
      </c>
      <c r="B5" s="255"/>
      <c r="C5" s="255"/>
      <c r="D5" s="255"/>
      <c r="E5" s="255"/>
      <c r="F5" s="255"/>
      <c r="G5" s="255"/>
      <c r="H5" s="255"/>
      <c r="I5" s="255"/>
    </row>
    <row r="6" spans="1:9" ht="15" x14ac:dyDescent="0.25">
      <c r="A6" s="255" t="s">
        <v>28</v>
      </c>
      <c r="B6" s="255"/>
      <c r="C6" s="255"/>
      <c r="D6" s="255"/>
      <c r="E6" s="255"/>
      <c r="F6" s="255"/>
      <c r="G6" s="255"/>
      <c r="H6" s="255"/>
      <c r="I6" s="255"/>
    </row>
    <row r="7" spans="1:9" ht="15" x14ac:dyDescent="0.25">
      <c r="A7" s="255" t="s">
        <v>26</v>
      </c>
      <c r="B7" s="255"/>
      <c r="C7" s="255"/>
      <c r="D7" s="255"/>
      <c r="E7" s="255"/>
      <c r="F7" s="255"/>
      <c r="G7" s="255"/>
      <c r="H7" s="255"/>
      <c r="I7" s="255"/>
    </row>
    <row r="8" spans="1:9" x14ac:dyDescent="0.2">
      <c r="A8" s="162"/>
      <c r="B8" s="159"/>
      <c r="C8" s="159"/>
      <c r="D8" s="159"/>
      <c r="E8" s="159"/>
      <c r="F8" s="159"/>
      <c r="G8" s="187"/>
      <c r="H8" s="187"/>
      <c r="I8" s="187"/>
    </row>
    <row r="9" spans="1:9" ht="15" x14ac:dyDescent="0.25">
      <c r="A9" s="253" t="s">
        <v>19</v>
      </c>
      <c r="B9" s="253"/>
      <c r="C9" s="253"/>
      <c r="D9" s="253"/>
      <c r="E9" s="253"/>
      <c r="F9" s="253"/>
      <c r="G9" s="253"/>
      <c r="H9" s="253"/>
      <c r="I9" s="253"/>
    </row>
    <row r="10" spans="1:9" ht="15" x14ac:dyDescent="0.25">
      <c r="A10" s="253" t="s">
        <v>22</v>
      </c>
      <c r="B10" s="253"/>
      <c r="C10" s="253"/>
      <c r="D10" s="253"/>
      <c r="E10" s="253"/>
      <c r="F10" s="253"/>
      <c r="G10" s="253"/>
      <c r="H10" s="253"/>
      <c r="I10" s="253"/>
    </row>
    <row r="11" spans="1:9" ht="15" x14ac:dyDescent="0.25">
      <c r="A11" s="253" t="s">
        <v>27</v>
      </c>
      <c r="B11" s="253"/>
      <c r="C11" s="253"/>
      <c r="D11" s="253"/>
      <c r="E11" s="253"/>
      <c r="F11" s="253"/>
      <c r="G11" s="253"/>
      <c r="H11" s="253"/>
      <c r="I11" s="253"/>
    </row>
    <row r="12" spans="1:9" ht="15" x14ac:dyDescent="0.25">
      <c r="A12" s="253" t="s">
        <v>23</v>
      </c>
      <c r="B12" s="253"/>
      <c r="C12" s="253"/>
      <c r="D12" s="253"/>
      <c r="E12" s="253"/>
      <c r="F12" s="253"/>
      <c r="G12" s="253"/>
      <c r="H12" s="253"/>
      <c r="I12" s="253"/>
    </row>
    <row r="13" spans="1:9" ht="15" x14ac:dyDescent="0.25">
      <c r="A13" s="253" t="s">
        <v>24</v>
      </c>
      <c r="B13" s="253"/>
      <c r="C13" s="253"/>
      <c r="D13" s="253"/>
      <c r="E13" s="253"/>
      <c r="F13" s="253"/>
      <c r="G13" s="253"/>
      <c r="H13" s="253"/>
      <c r="I13" s="253"/>
    </row>
    <row r="14" spans="1:9" ht="15.75" x14ac:dyDescent="0.25">
      <c r="A14" s="264"/>
      <c r="B14" s="264"/>
      <c r="C14" s="264"/>
      <c r="D14" s="264"/>
      <c r="E14" s="264"/>
      <c r="F14" s="264"/>
    </row>
    <row r="15" spans="1:9" ht="15.75" x14ac:dyDescent="0.25">
      <c r="A15" s="265" t="s">
        <v>15</v>
      </c>
      <c r="B15" s="265"/>
      <c r="C15" s="265"/>
      <c r="D15" s="265"/>
      <c r="E15" s="265"/>
      <c r="F15" s="265"/>
      <c r="G15" s="265"/>
      <c r="H15" s="265"/>
      <c r="I15" s="265"/>
    </row>
    <row r="16" spans="1:9" ht="15.75" x14ac:dyDescent="0.25">
      <c r="A16" s="223"/>
      <c r="B16" s="223"/>
      <c r="C16" s="223"/>
      <c r="D16" s="223"/>
      <c r="E16" s="223"/>
      <c r="F16" s="223"/>
    </row>
    <row r="17" spans="1:9" x14ac:dyDescent="0.2">
      <c r="A17" s="261" t="s">
        <v>12</v>
      </c>
      <c r="B17" s="261"/>
      <c r="C17" s="261"/>
      <c r="D17" s="261"/>
      <c r="E17" s="261"/>
      <c r="F17" s="261"/>
      <c r="G17" s="261"/>
      <c r="H17" s="261"/>
      <c r="I17" s="261"/>
    </row>
    <row r="18" spans="1:9" ht="26.45" customHeight="1" x14ac:dyDescent="0.2">
      <c r="A18" s="259" t="s">
        <v>2</v>
      </c>
      <c r="B18" s="259" t="s">
        <v>5</v>
      </c>
      <c r="C18" s="259" t="s">
        <v>1</v>
      </c>
      <c r="D18" s="259" t="s">
        <v>0</v>
      </c>
      <c r="E18" s="259" t="s">
        <v>3</v>
      </c>
      <c r="F18" s="259" t="s">
        <v>6</v>
      </c>
      <c r="G18" s="262" t="s">
        <v>31</v>
      </c>
      <c r="H18" s="262" t="s">
        <v>32</v>
      </c>
      <c r="I18" s="262" t="s">
        <v>33</v>
      </c>
    </row>
    <row r="19" spans="1:9" x14ac:dyDescent="0.2">
      <c r="A19" s="260"/>
      <c r="B19" s="260"/>
      <c r="C19" s="260"/>
      <c r="D19" s="260"/>
      <c r="E19" s="260"/>
      <c r="F19" s="260"/>
      <c r="G19" s="263"/>
      <c r="H19" s="263"/>
      <c r="I19" s="263"/>
    </row>
    <row r="20" spans="1:9" ht="15.75" x14ac:dyDescent="0.2">
      <c r="A20" s="236" t="s">
        <v>170</v>
      </c>
      <c r="B20" s="237"/>
      <c r="C20" s="237"/>
      <c r="D20" s="237"/>
      <c r="E20" s="237"/>
      <c r="F20" s="237"/>
      <c r="G20" s="238">
        <f>G21+G238+G274+G310+G347+G414+G494+G519+G599+G694+G730+G769+G896+G924+G953+G1099+G1128+G1083</f>
        <v>8085778.22071</v>
      </c>
      <c r="H20" s="238">
        <f>H21+H238+H274+H310+H347+H414+H494+H519+H599+H694+H730+H769+H896+H924+H953+H1099+H1128+H1141</f>
        <v>7109594.8770000003</v>
      </c>
      <c r="I20" s="238">
        <f>I21+I238+I274+I310+I347+I414+I494+I519+I599+I694+I730+I769+I896+I924+I953+I1099+I1128+I1141</f>
        <v>6457399.3951000003</v>
      </c>
    </row>
    <row r="21" spans="1:9" ht="15.75" x14ac:dyDescent="0.2">
      <c r="A21" s="200" t="s">
        <v>171</v>
      </c>
      <c r="B21" s="34">
        <v>598</v>
      </c>
      <c r="C21" s="34"/>
      <c r="D21" s="34"/>
      <c r="E21" s="34"/>
      <c r="F21" s="34"/>
      <c r="G21" s="201">
        <f>G22+G141+G156+G200+G232</f>
        <v>552900.31229999999</v>
      </c>
      <c r="H21" s="201">
        <f>H22+H141+H156+H200+H232</f>
        <v>409852.9</v>
      </c>
      <c r="I21" s="201">
        <f>I22+I141+I156+I200+I232</f>
        <v>405996.79999999999</v>
      </c>
    </row>
    <row r="22" spans="1:9" x14ac:dyDescent="0.2">
      <c r="A22" s="29" t="s">
        <v>172</v>
      </c>
      <c r="B22" s="30">
        <v>598</v>
      </c>
      <c r="C22" s="30" t="s">
        <v>173</v>
      </c>
      <c r="D22" s="30" t="s">
        <v>174</v>
      </c>
      <c r="E22" s="30"/>
      <c r="F22" s="30"/>
      <c r="G22" s="31">
        <f>G23+G30+G44+G50+G56</f>
        <v>362654.20199999999</v>
      </c>
      <c r="H22" s="31">
        <f>H23+H30+H44+H50+H56</f>
        <v>326939</v>
      </c>
      <c r="I22" s="31">
        <f>I23+I30+I44+I50+I56</f>
        <v>336933.1</v>
      </c>
    </row>
    <row r="23" spans="1:9" ht="24" x14ac:dyDescent="0.2">
      <c r="A23" s="29" t="s">
        <v>175</v>
      </c>
      <c r="B23" s="30" t="s">
        <v>176</v>
      </c>
      <c r="C23" s="30" t="s">
        <v>173</v>
      </c>
      <c r="D23" s="30" t="s">
        <v>177</v>
      </c>
      <c r="E23" s="30"/>
      <c r="F23" s="30"/>
      <c r="G23" s="31">
        <f t="shared" ref="G23:I28" si="0">G24</f>
        <v>2333.6</v>
      </c>
      <c r="H23" s="31">
        <f t="shared" si="0"/>
        <v>2333.6</v>
      </c>
      <c r="I23" s="31">
        <f t="shared" si="0"/>
        <v>2333.6</v>
      </c>
    </row>
    <row r="24" spans="1:9" x14ac:dyDescent="0.2">
      <c r="A24" s="39" t="s">
        <v>178</v>
      </c>
      <c r="B24" s="40" t="s">
        <v>176</v>
      </c>
      <c r="C24" s="40" t="s">
        <v>173</v>
      </c>
      <c r="D24" s="40" t="s">
        <v>177</v>
      </c>
      <c r="E24" s="40" t="s">
        <v>179</v>
      </c>
      <c r="F24" s="40"/>
      <c r="G24" s="41">
        <f t="shared" si="0"/>
        <v>2333.6</v>
      </c>
      <c r="H24" s="41">
        <f t="shared" si="0"/>
        <v>2333.6</v>
      </c>
      <c r="I24" s="41">
        <f t="shared" si="0"/>
        <v>2333.6</v>
      </c>
    </row>
    <row r="25" spans="1:9" x14ac:dyDescent="0.2">
      <c r="A25" s="29" t="s">
        <v>180</v>
      </c>
      <c r="B25" s="30" t="s">
        <v>176</v>
      </c>
      <c r="C25" s="30" t="s">
        <v>173</v>
      </c>
      <c r="D25" s="30" t="s">
        <v>177</v>
      </c>
      <c r="E25" s="30" t="s">
        <v>181</v>
      </c>
      <c r="F25" s="30"/>
      <c r="G25" s="31">
        <f t="shared" si="0"/>
        <v>2333.6</v>
      </c>
      <c r="H25" s="31">
        <f t="shared" si="0"/>
        <v>2333.6</v>
      </c>
      <c r="I25" s="31">
        <f t="shared" si="0"/>
        <v>2333.6</v>
      </c>
    </row>
    <row r="26" spans="1:9" x14ac:dyDescent="0.2">
      <c r="A26" s="39" t="s">
        <v>182</v>
      </c>
      <c r="B26" s="40">
        <v>598</v>
      </c>
      <c r="C26" s="40" t="s">
        <v>173</v>
      </c>
      <c r="D26" s="40" t="s">
        <v>177</v>
      </c>
      <c r="E26" s="40" t="s">
        <v>181</v>
      </c>
      <c r="F26" s="49"/>
      <c r="G26" s="41">
        <f t="shared" si="0"/>
        <v>2333.6</v>
      </c>
      <c r="H26" s="41">
        <f t="shared" si="0"/>
        <v>2333.6</v>
      </c>
      <c r="I26" s="41">
        <f t="shared" si="0"/>
        <v>2333.6</v>
      </c>
    </row>
    <row r="27" spans="1:9" x14ac:dyDescent="0.2">
      <c r="A27" s="29" t="s">
        <v>183</v>
      </c>
      <c r="B27" s="30">
        <v>598</v>
      </c>
      <c r="C27" s="30" t="s">
        <v>173</v>
      </c>
      <c r="D27" s="30" t="s">
        <v>177</v>
      </c>
      <c r="E27" s="30" t="s">
        <v>184</v>
      </c>
      <c r="F27" s="30"/>
      <c r="G27" s="31">
        <f t="shared" si="0"/>
        <v>2333.6</v>
      </c>
      <c r="H27" s="31">
        <f t="shared" si="0"/>
        <v>2333.6</v>
      </c>
      <c r="I27" s="31">
        <f t="shared" si="0"/>
        <v>2333.6</v>
      </c>
    </row>
    <row r="28" spans="1:9" ht="24" x14ac:dyDescent="0.2">
      <c r="A28" s="35" t="s">
        <v>185</v>
      </c>
      <c r="B28" s="36" t="s">
        <v>176</v>
      </c>
      <c r="C28" s="36" t="s">
        <v>173</v>
      </c>
      <c r="D28" s="36" t="s">
        <v>177</v>
      </c>
      <c r="E28" s="36" t="s">
        <v>184</v>
      </c>
      <c r="F28" s="36" t="s">
        <v>186</v>
      </c>
      <c r="G28" s="37">
        <f t="shared" si="0"/>
        <v>2333.6</v>
      </c>
      <c r="H28" s="37">
        <f t="shared" si="0"/>
        <v>2333.6</v>
      </c>
      <c r="I28" s="37">
        <f t="shared" si="0"/>
        <v>2333.6</v>
      </c>
    </row>
    <row r="29" spans="1:9" x14ac:dyDescent="0.2">
      <c r="A29" s="35" t="s">
        <v>187</v>
      </c>
      <c r="B29" s="36" t="s">
        <v>176</v>
      </c>
      <c r="C29" s="36" t="s">
        <v>173</v>
      </c>
      <c r="D29" s="36" t="s">
        <v>177</v>
      </c>
      <c r="E29" s="36" t="s">
        <v>184</v>
      </c>
      <c r="F29" s="36" t="s">
        <v>188</v>
      </c>
      <c r="G29" s="37">
        <v>2333.6</v>
      </c>
      <c r="H29" s="37">
        <v>2333.6</v>
      </c>
      <c r="I29" s="37">
        <v>2333.6</v>
      </c>
    </row>
    <row r="30" spans="1:9" ht="24" x14ac:dyDescent="0.2">
      <c r="A30" s="29" t="s">
        <v>175</v>
      </c>
      <c r="B30" s="30">
        <v>598</v>
      </c>
      <c r="C30" s="30" t="s">
        <v>173</v>
      </c>
      <c r="D30" s="30" t="s">
        <v>177</v>
      </c>
      <c r="E30" s="30"/>
      <c r="F30" s="30"/>
      <c r="G30" s="31">
        <f>G31</f>
        <v>159145.49431000001</v>
      </c>
      <c r="H30" s="31">
        <f t="shared" ref="H30:I31" si="1">H31</f>
        <v>141261.1</v>
      </c>
      <c r="I30" s="31">
        <f t="shared" si="1"/>
        <v>139134.5</v>
      </c>
    </row>
    <row r="31" spans="1:9" x14ac:dyDescent="0.2">
      <c r="A31" s="39" t="s">
        <v>178</v>
      </c>
      <c r="B31" s="40" t="s">
        <v>176</v>
      </c>
      <c r="C31" s="40" t="s">
        <v>173</v>
      </c>
      <c r="D31" s="40" t="s">
        <v>177</v>
      </c>
      <c r="E31" s="40" t="s">
        <v>189</v>
      </c>
      <c r="F31" s="40"/>
      <c r="G31" s="41">
        <f>G32</f>
        <v>159145.49431000001</v>
      </c>
      <c r="H31" s="41">
        <f t="shared" si="1"/>
        <v>141261.1</v>
      </c>
      <c r="I31" s="41">
        <f t="shared" si="1"/>
        <v>139134.5</v>
      </c>
    </row>
    <row r="32" spans="1:9" x14ac:dyDescent="0.2">
      <c r="A32" s="29" t="s">
        <v>180</v>
      </c>
      <c r="B32" s="30" t="s">
        <v>176</v>
      </c>
      <c r="C32" s="30" t="s">
        <v>173</v>
      </c>
      <c r="D32" s="30" t="s">
        <v>177</v>
      </c>
      <c r="E32" s="30" t="s">
        <v>190</v>
      </c>
      <c r="F32" s="40"/>
      <c r="G32" s="31">
        <f>G33+G36+G41</f>
        <v>159145.49431000001</v>
      </c>
      <c r="H32" s="31">
        <f>H33+H36+H41</f>
        <v>141261.1</v>
      </c>
      <c r="I32" s="31">
        <f>I33+I36+I41</f>
        <v>139134.5</v>
      </c>
    </row>
    <row r="33" spans="1:9" x14ac:dyDescent="0.2">
      <c r="A33" s="29" t="s">
        <v>191</v>
      </c>
      <c r="B33" s="30" t="s">
        <v>176</v>
      </c>
      <c r="C33" s="30" t="s">
        <v>173</v>
      </c>
      <c r="D33" s="30" t="s">
        <v>177</v>
      </c>
      <c r="E33" s="30" t="s">
        <v>192</v>
      </c>
      <c r="F33" s="30"/>
      <c r="G33" s="31">
        <f>G34</f>
        <v>132189.29</v>
      </c>
      <c r="H33" s="31">
        <f t="shared" ref="H33:I33" si="2">H34</f>
        <v>119480.6</v>
      </c>
      <c r="I33" s="31">
        <f t="shared" si="2"/>
        <v>117354</v>
      </c>
    </row>
    <row r="34" spans="1:9" ht="24" x14ac:dyDescent="0.2">
      <c r="A34" s="35" t="s">
        <v>185</v>
      </c>
      <c r="B34" s="36" t="s">
        <v>176</v>
      </c>
      <c r="C34" s="36" t="s">
        <v>173</v>
      </c>
      <c r="D34" s="36" t="s">
        <v>177</v>
      </c>
      <c r="E34" s="36" t="s">
        <v>192</v>
      </c>
      <c r="F34" s="36" t="s">
        <v>186</v>
      </c>
      <c r="G34" s="37">
        <f>G35</f>
        <v>132189.29</v>
      </c>
      <c r="H34" s="37">
        <f>H35</f>
        <v>119480.6</v>
      </c>
      <c r="I34" s="37">
        <f>I35</f>
        <v>117354</v>
      </c>
    </row>
    <row r="35" spans="1:9" x14ac:dyDescent="0.2">
      <c r="A35" s="35" t="s">
        <v>187</v>
      </c>
      <c r="B35" s="36" t="s">
        <v>176</v>
      </c>
      <c r="C35" s="36" t="s">
        <v>173</v>
      </c>
      <c r="D35" s="36" t="s">
        <v>177</v>
      </c>
      <c r="E35" s="36" t="s">
        <v>192</v>
      </c>
      <c r="F35" s="36" t="s">
        <v>188</v>
      </c>
      <c r="G35" s="37">
        <f>98353.3+300+100+934+29793.3+23708.69-21000</f>
        <v>132189.29</v>
      </c>
      <c r="H35" s="37">
        <f>98353.3+300+100+934+29793.3-10000</f>
        <v>119480.6</v>
      </c>
      <c r="I35" s="37">
        <f>98353.3+300+100+934+29793.3-12126.6</f>
        <v>117354</v>
      </c>
    </row>
    <row r="36" spans="1:9" x14ac:dyDescent="0.2">
      <c r="A36" s="29" t="s">
        <v>193</v>
      </c>
      <c r="B36" s="30" t="s">
        <v>176</v>
      </c>
      <c r="C36" s="30" t="s">
        <v>173</v>
      </c>
      <c r="D36" s="30" t="s">
        <v>177</v>
      </c>
      <c r="E36" s="30" t="s">
        <v>194</v>
      </c>
      <c r="F36" s="30"/>
      <c r="G36" s="31">
        <f>G37+G39</f>
        <v>23130.561099999999</v>
      </c>
      <c r="H36" s="31">
        <f>H37+H39</f>
        <v>21780.5</v>
      </c>
      <c r="I36" s="31">
        <f>I37+I39</f>
        <v>21780.5</v>
      </c>
    </row>
    <row r="37" spans="1:9" x14ac:dyDescent="0.2">
      <c r="A37" s="35" t="s">
        <v>195</v>
      </c>
      <c r="B37" s="36" t="s">
        <v>176</v>
      </c>
      <c r="C37" s="36" t="s">
        <v>173</v>
      </c>
      <c r="D37" s="36" t="s">
        <v>177</v>
      </c>
      <c r="E37" s="36" t="s">
        <v>194</v>
      </c>
      <c r="F37" s="36" t="s">
        <v>196</v>
      </c>
      <c r="G37" s="37">
        <f>G38</f>
        <v>20105.5</v>
      </c>
      <c r="H37" s="37">
        <f t="shared" ref="H37:I37" si="3">H38</f>
        <v>19630.5</v>
      </c>
      <c r="I37" s="37">
        <f t="shared" si="3"/>
        <v>19630.5</v>
      </c>
    </row>
    <row r="38" spans="1:9" x14ac:dyDescent="0.2">
      <c r="A38" s="35" t="s">
        <v>197</v>
      </c>
      <c r="B38" s="36" t="s">
        <v>176</v>
      </c>
      <c r="C38" s="36" t="s">
        <v>173</v>
      </c>
      <c r="D38" s="36" t="s">
        <v>177</v>
      </c>
      <c r="E38" s="36" t="s">
        <v>194</v>
      </c>
      <c r="F38" s="36" t="s">
        <v>198</v>
      </c>
      <c r="G38" s="37">
        <f>19630.5+400+25+50</f>
        <v>20105.5</v>
      </c>
      <c r="H38" s="37">
        <v>19630.5</v>
      </c>
      <c r="I38" s="37">
        <v>19630.5</v>
      </c>
    </row>
    <row r="39" spans="1:9" x14ac:dyDescent="0.2">
      <c r="A39" s="35" t="s">
        <v>199</v>
      </c>
      <c r="B39" s="36" t="s">
        <v>176</v>
      </c>
      <c r="C39" s="36" t="s">
        <v>173</v>
      </c>
      <c r="D39" s="36" t="s">
        <v>177</v>
      </c>
      <c r="E39" s="36" t="s">
        <v>194</v>
      </c>
      <c r="F39" s="36" t="s">
        <v>200</v>
      </c>
      <c r="G39" s="37">
        <f>G40</f>
        <v>3025.0610999999999</v>
      </c>
      <c r="H39" s="37">
        <f t="shared" ref="H39:I39" si="4">H40</f>
        <v>2150</v>
      </c>
      <c r="I39" s="37">
        <f t="shared" si="4"/>
        <v>2150</v>
      </c>
    </row>
    <row r="40" spans="1:9" x14ac:dyDescent="0.2">
      <c r="A40" s="35" t="s">
        <v>201</v>
      </c>
      <c r="B40" s="36" t="s">
        <v>176</v>
      </c>
      <c r="C40" s="36" t="s">
        <v>173</v>
      </c>
      <c r="D40" s="36" t="s">
        <v>177</v>
      </c>
      <c r="E40" s="36" t="s">
        <v>194</v>
      </c>
      <c r="F40" s="36" t="s">
        <v>202</v>
      </c>
      <c r="G40" s="37">
        <f>2150+875.0611</f>
        <v>3025.0610999999999</v>
      </c>
      <c r="H40" s="37">
        <v>2150</v>
      </c>
      <c r="I40" s="37">
        <v>2150</v>
      </c>
    </row>
    <row r="41" spans="1:9" x14ac:dyDescent="0.2">
      <c r="A41" s="29" t="s">
        <v>203</v>
      </c>
      <c r="B41" s="30" t="s">
        <v>176</v>
      </c>
      <c r="C41" s="30" t="s">
        <v>173</v>
      </c>
      <c r="D41" s="30" t="s">
        <v>177</v>
      </c>
      <c r="E41" s="30" t="s">
        <v>204</v>
      </c>
      <c r="F41" s="30"/>
      <c r="G41" s="31">
        <f t="shared" ref="G41:I42" si="5">G42</f>
        <v>3825.6432100000002</v>
      </c>
      <c r="H41" s="45">
        <f t="shared" si="5"/>
        <v>0</v>
      </c>
      <c r="I41" s="45">
        <f t="shared" si="5"/>
        <v>0</v>
      </c>
    </row>
    <row r="42" spans="1:9" ht="24" x14ac:dyDescent="0.2">
      <c r="A42" s="35" t="s">
        <v>185</v>
      </c>
      <c r="B42" s="36" t="s">
        <v>176</v>
      </c>
      <c r="C42" s="36" t="s">
        <v>173</v>
      </c>
      <c r="D42" s="36" t="s">
        <v>177</v>
      </c>
      <c r="E42" s="36" t="s">
        <v>204</v>
      </c>
      <c r="F42" s="36" t="s">
        <v>186</v>
      </c>
      <c r="G42" s="37">
        <f t="shared" si="5"/>
        <v>3825.6432100000002</v>
      </c>
      <c r="H42" s="46">
        <f t="shared" si="5"/>
        <v>0</v>
      </c>
      <c r="I42" s="46">
        <f t="shared" si="5"/>
        <v>0</v>
      </c>
    </row>
    <row r="43" spans="1:9" x14ac:dyDescent="0.2">
      <c r="A43" s="35" t="s">
        <v>187</v>
      </c>
      <c r="B43" s="36" t="s">
        <v>176</v>
      </c>
      <c r="C43" s="36" t="s">
        <v>173</v>
      </c>
      <c r="D43" s="36" t="s">
        <v>177</v>
      </c>
      <c r="E43" s="36" t="s">
        <v>204</v>
      </c>
      <c r="F43" s="36" t="s">
        <v>188</v>
      </c>
      <c r="G43" s="37">
        <v>3825.6432100000002</v>
      </c>
      <c r="H43" s="46">
        <v>0</v>
      </c>
      <c r="I43" s="46">
        <v>0</v>
      </c>
    </row>
    <row r="44" spans="1:9" x14ac:dyDescent="0.2">
      <c r="A44" s="29" t="s">
        <v>205</v>
      </c>
      <c r="B44" s="30" t="s">
        <v>176</v>
      </c>
      <c r="C44" s="30" t="s">
        <v>173</v>
      </c>
      <c r="D44" s="30" t="s">
        <v>206</v>
      </c>
      <c r="E44" s="30"/>
      <c r="F44" s="30"/>
      <c r="G44" s="45">
        <f t="shared" ref="G44:I48" si="6">G45</f>
        <v>21.8</v>
      </c>
      <c r="H44" s="45">
        <f t="shared" si="6"/>
        <v>23.1</v>
      </c>
      <c r="I44" s="45">
        <f t="shared" si="6"/>
        <v>20.8</v>
      </c>
    </row>
    <row r="45" spans="1:9" x14ac:dyDescent="0.2">
      <c r="A45" s="39" t="s">
        <v>178</v>
      </c>
      <c r="B45" s="40" t="s">
        <v>176</v>
      </c>
      <c r="C45" s="40" t="s">
        <v>173</v>
      </c>
      <c r="D45" s="40" t="s">
        <v>206</v>
      </c>
      <c r="E45" s="40" t="s">
        <v>189</v>
      </c>
      <c r="F45" s="36"/>
      <c r="G45" s="47">
        <f t="shared" si="6"/>
        <v>21.8</v>
      </c>
      <c r="H45" s="47">
        <f t="shared" si="6"/>
        <v>23.1</v>
      </c>
      <c r="I45" s="47">
        <f t="shared" si="6"/>
        <v>20.8</v>
      </c>
    </row>
    <row r="46" spans="1:9" x14ac:dyDescent="0.2">
      <c r="A46" s="29" t="s">
        <v>180</v>
      </c>
      <c r="B46" s="30" t="s">
        <v>176</v>
      </c>
      <c r="C46" s="30" t="s">
        <v>173</v>
      </c>
      <c r="D46" s="30" t="s">
        <v>206</v>
      </c>
      <c r="E46" s="30" t="s">
        <v>190</v>
      </c>
      <c r="F46" s="36"/>
      <c r="G46" s="45">
        <f t="shared" si="6"/>
        <v>21.8</v>
      </c>
      <c r="H46" s="45">
        <f t="shared" si="6"/>
        <v>23.1</v>
      </c>
      <c r="I46" s="45">
        <f t="shared" si="6"/>
        <v>20.8</v>
      </c>
    </row>
    <row r="47" spans="1:9" ht="24" x14ac:dyDescent="0.2">
      <c r="A47" s="29" t="s">
        <v>207</v>
      </c>
      <c r="B47" s="30" t="s">
        <v>176</v>
      </c>
      <c r="C47" s="30" t="s">
        <v>173</v>
      </c>
      <c r="D47" s="30" t="s">
        <v>206</v>
      </c>
      <c r="E47" s="30" t="s">
        <v>208</v>
      </c>
      <c r="F47" s="30"/>
      <c r="G47" s="45">
        <f t="shared" si="6"/>
        <v>21.8</v>
      </c>
      <c r="H47" s="45">
        <f t="shared" si="6"/>
        <v>23.1</v>
      </c>
      <c r="I47" s="45">
        <f t="shared" si="6"/>
        <v>20.8</v>
      </c>
    </row>
    <row r="48" spans="1:9" x14ac:dyDescent="0.2">
      <c r="A48" s="35" t="s">
        <v>195</v>
      </c>
      <c r="B48" s="36" t="s">
        <v>176</v>
      </c>
      <c r="C48" s="36" t="s">
        <v>173</v>
      </c>
      <c r="D48" s="36" t="s">
        <v>206</v>
      </c>
      <c r="E48" s="36" t="s">
        <v>208</v>
      </c>
      <c r="F48" s="36" t="s">
        <v>196</v>
      </c>
      <c r="G48" s="46">
        <f t="shared" si="6"/>
        <v>21.8</v>
      </c>
      <c r="H48" s="46">
        <f t="shared" si="6"/>
        <v>23.1</v>
      </c>
      <c r="I48" s="46">
        <f t="shared" si="6"/>
        <v>20.8</v>
      </c>
    </row>
    <row r="49" spans="1:9" x14ac:dyDescent="0.2">
      <c r="A49" s="35" t="s">
        <v>197</v>
      </c>
      <c r="B49" s="36" t="s">
        <v>176</v>
      </c>
      <c r="C49" s="36" t="s">
        <v>173</v>
      </c>
      <c r="D49" s="36" t="s">
        <v>206</v>
      </c>
      <c r="E49" s="36" t="s">
        <v>208</v>
      </c>
      <c r="F49" s="36" t="s">
        <v>198</v>
      </c>
      <c r="G49" s="37">
        <v>21.8</v>
      </c>
      <c r="H49" s="37">
        <v>23.1</v>
      </c>
      <c r="I49" s="37">
        <v>20.8</v>
      </c>
    </row>
    <row r="50" spans="1:9" x14ac:dyDescent="0.2">
      <c r="A50" s="29" t="s">
        <v>209</v>
      </c>
      <c r="B50" s="30">
        <v>598</v>
      </c>
      <c r="C50" s="30" t="s">
        <v>173</v>
      </c>
      <c r="D50" s="30" t="s">
        <v>210</v>
      </c>
      <c r="E50" s="30"/>
      <c r="F50" s="30"/>
      <c r="G50" s="31">
        <f>G51</f>
        <v>3750</v>
      </c>
      <c r="H50" s="31">
        <f t="shared" ref="H50:I54" si="7">H51</f>
        <v>3000</v>
      </c>
      <c r="I50" s="31">
        <f t="shared" si="7"/>
        <v>3000</v>
      </c>
    </row>
    <row r="51" spans="1:9" x14ac:dyDescent="0.2">
      <c r="A51" s="39" t="s">
        <v>178</v>
      </c>
      <c r="B51" s="40">
        <v>598</v>
      </c>
      <c r="C51" s="40" t="s">
        <v>173</v>
      </c>
      <c r="D51" s="40" t="s">
        <v>210</v>
      </c>
      <c r="E51" s="40" t="s">
        <v>189</v>
      </c>
      <c r="F51" s="40"/>
      <c r="G51" s="41">
        <f>G52</f>
        <v>3750</v>
      </c>
      <c r="H51" s="41">
        <f t="shared" si="7"/>
        <v>3000</v>
      </c>
      <c r="I51" s="41">
        <f t="shared" si="7"/>
        <v>3000</v>
      </c>
    </row>
    <row r="52" spans="1:9" x14ac:dyDescent="0.2">
      <c r="A52" s="29" t="s">
        <v>180</v>
      </c>
      <c r="B52" s="30" t="s">
        <v>176</v>
      </c>
      <c r="C52" s="30" t="s">
        <v>173</v>
      </c>
      <c r="D52" s="30" t="s">
        <v>210</v>
      </c>
      <c r="E52" s="30" t="s">
        <v>190</v>
      </c>
      <c r="F52" s="30"/>
      <c r="G52" s="31">
        <f>G53</f>
        <v>3750</v>
      </c>
      <c r="H52" s="31">
        <f t="shared" si="7"/>
        <v>3000</v>
      </c>
      <c r="I52" s="31">
        <f t="shared" si="7"/>
        <v>3000</v>
      </c>
    </row>
    <row r="53" spans="1:9" x14ac:dyDescent="0.2">
      <c r="A53" s="29" t="s">
        <v>211</v>
      </c>
      <c r="B53" s="30">
        <v>598</v>
      </c>
      <c r="C53" s="30" t="s">
        <v>173</v>
      </c>
      <c r="D53" s="30" t="s">
        <v>210</v>
      </c>
      <c r="E53" s="30" t="s">
        <v>212</v>
      </c>
      <c r="F53" s="30"/>
      <c r="G53" s="31">
        <f>G54</f>
        <v>3750</v>
      </c>
      <c r="H53" s="31">
        <f t="shared" si="7"/>
        <v>3000</v>
      </c>
      <c r="I53" s="31">
        <f t="shared" si="7"/>
        <v>3000</v>
      </c>
    </row>
    <row r="54" spans="1:9" x14ac:dyDescent="0.2">
      <c r="A54" s="35" t="s">
        <v>199</v>
      </c>
      <c r="B54" s="36">
        <v>598</v>
      </c>
      <c r="C54" s="36" t="s">
        <v>173</v>
      </c>
      <c r="D54" s="36" t="s">
        <v>210</v>
      </c>
      <c r="E54" s="36" t="s">
        <v>212</v>
      </c>
      <c r="F54" s="36" t="s">
        <v>200</v>
      </c>
      <c r="G54" s="37">
        <f>G55</f>
        <v>3750</v>
      </c>
      <c r="H54" s="37">
        <f t="shared" si="7"/>
        <v>3000</v>
      </c>
      <c r="I54" s="37">
        <f t="shared" si="7"/>
        <v>3000</v>
      </c>
    </row>
    <row r="55" spans="1:9" x14ac:dyDescent="0.2">
      <c r="A55" s="35" t="s">
        <v>213</v>
      </c>
      <c r="B55" s="36">
        <v>598</v>
      </c>
      <c r="C55" s="36" t="s">
        <v>173</v>
      </c>
      <c r="D55" s="36" t="s">
        <v>210</v>
      </c>
      <c r="E55" s="36" t="s">
        <v>212</v>
      </c>
      <c r="F55" s="36" t="s">
        <v>214</v>
      </c>
      <c r="G55" s="37">
        <f>10700-150-1100-5600-100</f>
        <v>3750</v>
      </c>
      <c r="H55" s="37">
        <v>3000</v>
      </c>
      <c r="I55" s="37">
        <v>3000</v>
      </c>
    </row>
    <row r="56" spans="1:9" x14ac:dyDescent="0.2">
      <c r="A56" s="29" t="s">
        <v>215</v>
      </c>
      <c r="B56" s="30" t="s">
        <v>176</v>
      </c>
      <c r="C56" s="30" t="s">
        <v>173</v>
      </c>
      <c r="D56" s="30" t="s">
        <v>216</v>
      </c>
      <c r="E56" s="30"/>
      <c r="F56" s="30"/>
      <c r="G56" s="31">
        <f>G57+G90+G95+G108</f>
        <v>197403.30768999999</v>
      </c>
      <c r="H56" s="31">
        <f>H57+H90+H95+H108</f>
        <v>180321.2</v>
      </c>
      <c r="I56" s="31">
        <f>I57+I90+I95+I108</f>
        <v>192444.2</v>
      </c>
    </row>
    <row r="57" spans="1:9" x14ac:dyDescent="0.2">
      <c r="A57" s="39" t="s">
        <v>217</v>
      </c>
      <c r="B57" s="40" t="s">
        <v>176</v>
      </c>
      <c r="C57" s="40" t="s">
        <v>173</v>
      </c>
      <c r="D57" s="40" t="s">
        <v>216</v>
      </c>
      <c r="E57" s="202" t="s">
        <v>218</v>
      </c>
      <c r="F57" s="56"/>
      <c r="G57" s="41">
        <f>G58+G80</f>
        <v>83000</v>
      </c>
      <c r="H57" s="41">
        <f>H58+H80</f>
        <v>96008</v>
      </c>
      <c r="I57" s="41">
        <f>I58+I80</f>
        <v>93131</v>
      </c>
    </row>
    <row r="58" spans="1:9" x14ac:dyDescent="0.2">
      <c r="A58" s="42" t="s">
        <v>219</v>
      </c>
      <c r="B58" s="40" t="s">
        <v>176</v>
      </c>
      <c r="C58" s="40" t="s">
        <v>173</v>
      </c>
      <c r="D58" s="40" t="s">
        <v>216</v>
      </c>
      <c r="E58" s="43" t="s">
        <v>220</v>
      </c>
      <c r="F58" s="56"/>
      <c r="G58" s="41">
        <f>G59+G62+G65+G68+G71+G74+G77</f>
        <v>80950</v>
      </c>
      <c r="H58" s="41">
        <f>H59+H62+H65+H68+H71+H74+H77</f>
        <v>84958</v>
      </c>
      <c r="I58" s="41">
        <f>I59+I62+I65+I68+I71+I74+I77</f>
        <v>87081</v>
      </c>
    </row>
    <row r="59" spans="1:9" x14ac:dyDescent="0.2">
      <c r="A59" s="50" t="s">
        <v>221</v>
      </c>
      <c r="B59" s="30" t="s">
        <v>176</v>
      </c>
      <c r="C59" s="30" t="s">
        <v>173</v>
      </c>
      <c r="D59" s="30" t="s">
        <v>216</v>
      </c>
      <c r="E59" s="51" t="s">
        <v>222</v>
      </c>
      <c r="F59" s="55"/>
      <c r="G59" s="31">
        <f>G60</f>
        <v>3062</v>
      </c>
      <c r="H59" s="31">
        <f t="shared" ref="H59:I60" si="8">H60</f>
        <v>5350</v>
      </c>
      <c r="I59" s="31">
        <f t="shared" si="8"/>
        <v>5350</v>
      </c>
    </row>
    <row r="60" spans="1:9" x14ac:dyDescent="0.2">
      <c r="A60" s="35" t="s">
        <v>195</v>
      </c>
      <c r="B60" s="36" t="s">
        <v>176</v>
      </c>
      <c r="C60" s="36" t="s">
        <v>173</v>
      </c>
      <c r="D60" s="36" t="s">
        <v>216</v>
      </c>
      <c r="E60" s="44" t="s">
        <v>222</v>
      </c>
      <c r="F60" s="48">
        <v>200</v>
      </c>
      <c r="G60" s="37">
        <f>G61</f>
        <v>3062</v>
      </c>
      <c r="H60" s="37">
        <f t="shared" si="8"/>
        <v>5350</v>
      </c>
      <c r="I60" s="37">
        <f t="shared" si="8"/>
        <v>5350</v>
      </c>
    </row>
    <row r="61" spans="1:9" x14ac:dyDescent="0.2">
      <c r="A61" s="35" t="s">
        <v>197</v>
      </c>
      <c r="B61" s="36" t="s">
        <v>176</v>
      </c>
      <c r="C61" s="36" t="s">
        <v>173</v>
      </c>
      <c r="D61" s="36" t="s">
        <v>216</v>
      </c>
      <c r="E61" s="44" t="s">
        <v>222</v>
      </c>
      <c r="F61" s="48">
        <v>240</v>
      </c>
      <c r="G61" s="37">
        <v>3062</v>
      </c>
      <c r="H61" s="37">
        <v>5350</v>
      </c>
      <c r="I61" s="37">
        <v>5350</v>
      </c>
    </row>
    <row r="62" spans="1:9" ht="17.25" customHeight="1" x14ac:dyDescent="0.2">
      <c r="A62" s="50" t="s">
        <v>223</v>
      </c>
      <c r="B62" s="30" t="s">
        <v>176</v>
      </c>
      <c r="C62" s="30" t="s">
        <v>173</v>
      </c>
      <c r="D62" s="30" t="s">
        <v>216</v>
      </c>
      <c r="E62" s="51" t="s">
        <v>224</v>
      </c>
      <c r="F62" s="48"/>
      <c r="G62" s="31">
        <f>G63</f>
        <v>1000</v>
      </c>
      <c r="H62" s="31">
        <f t="shared" ref="H62:I63" si="9">H63</f>
        <v>1100</v>
      </c>
      <c r="I62" s="31">
        <f t="shared" si="9"/>
        <v>1100</v>
      </c>
    </row>
    <row r="63" spans="1:9" x14ac:dyDescent="0.2">
      <c r="A63" s="35" t="s">
        <v>195</v>
      </c>
      <c r="B63" s="36" t="s">
        <v>176</v>
      </c>
      <c r="C63" s="36" t="s">
        <v>173</v>
      </c>
      <c r="D63" s="36" t="s">
        <v>216</v>
      </c>
      <c r="E63" s="44" t="s">
        <v>224</v>
      </c>
      <c r="F63" s="48">
        <v>200</v>
      </c>
      <c r="G63" s="37">
        <f>G64</f>
        <v>1000</v>
      </c>
      <c r="H63" s="37">
        <f t="shared" si="9"/>
        <v>1100</v>
      </c>
      <c r="I63" s="37">
        <f t="shared" si="9"/>
        <v>1100</v>
      </c>
    </row>
    <row r="64" spans="1:9" x14ac:dyDescent="0.2">
      <c r="A64" s="35" t="s">
        <v>197</v>
      </c>
      <c r="B64" s="36" t="s">
        <v>176</v>
      </c>
      <c r="C64" s="36" t="s">
        <v>173</v>
      </c>
      <c r="D64" s="36" t="s">
        <v>216</v>
      </c>
      <c r="E64" s="44" t="s">
        <v>224</v>
      </c>
      <c r="F64" s="48">
        <v>240</v>
      </c>
      <c r="G64" s="37">
        <v>1000</v>
      </c>
      <c r="H64" s="37">
        <v>1100</v>
      </c>
      <c r="I64" s="37">
        <v>1100</v>
      </c>
    </row>
    <row r="65" spans="1:9" ht="24" x14ac:dyDescent="0.2">
      <c r="A65" s="50" t="s">
        <v>225</v>
      </c>
      <c r="B65" s="30" t="s">
        <v>176</v>
      </c>
      <c r="C65" s="30" t="s">
        <v>173</v>
      </c>
      <c r="D65" s="30" t="s">
        <v>216</v>
      </c>
      <c r="E65" s="51" t="s">
        <v>226</v>
      </c>
      <c r="F65" s="48"/>
      <c r="G65" s="31">
        <f>G66</f>
        <v>3090</v>
      </c>
      <c r="H65" s="31">
        <f t="shared" ref="H65:I66" si="10">H66</f>
        <v>2910</v>
      </c>
      <c r="I65" s="31">
        <f t="shared" si="10"/>
        <v>4961</v>
      </c>
    </row>
    <row r="66" spans="1:9" x14ac:dyDescent="0.2">
      <c r="A66" s="35" t="s">
        <v>195</v>
      </c>
      <c r="B66" s="36" t="s">
        <v>176</v>
      </c>
      <c r="C66" s="36" t="s">
        <v>173</v>
      </c>
      <c r="D66" s="36" t="s">
        <v>216</v>
      </c>
      <c r="E66" s="44" t="s">
        <v>226</v>
      </c>
      <c r="F66" s="48">
        <v>200</v>
      </c>
      <c r="G66" s="37">
        <f>G67</f>
        <v>3090</v>
      </c>
      <c r="H66" s="37">
        <f t="shared" si="10"/>
        <v>2910</v>
      </c>
      <c r="I66" s="37">
        <f t="shared" si="10"/>
        <v>4961</v>
      </c>
    </row>
    <row r="67" spans="1:9" x14ac:dyDescent="0.2">
      <c r="A67" s="35" t="s">
        <v>197</v>
      </c>
      <c r="B67" s="36" t="s">
        <v>176</v>
      </c>
      <c r="C67" s="36" t="s">
        <v>173</v>
      </c>
      <c r="D67" s="36" t="s">
        <v>216</v>
      </c>
      <c r="E67" s="44" t="s">
        <v>226</v>
      </c>
      <c r="F67" s="48">
        <v>240</v>
      </c>
      <c r="G67" s="37">
        <f>4050-1200+240</f>
        <v>3090</v>
      </c>
      <c r="H67" s="37">
        <f>4510-1600</f>
        <v>2910</v>
      </c>
      <c r="I67" s="37">
        <v>4961</v>
      </c>
    </row>
    <row r="68" spans="1:9" ht="24" x14ac:dyDescent="0.2">
      <c r="A68" s="50" t="s">
        <v>227</v>
      </c>
      <c r="B68" s="30" t="s">
        <v>176</v>
      </c>
      <c r="C68" s="30" t="s">
        <v>173</v>
      </c>
      <c r="D68" s="30" t="s">
        <v>216</v>
      </c>
      <c r="E68" s="51" t="s">
        <v>228</v>
      </c>
      <c r="F68" s="48"/>
      <c r="G68" s="31">
        <f>G69</f>
        <v>3011</v>
      </c>
      <c r="H68" s="31">
        <f t="shared" ref="H68:I69" si="11">H69</f>
        <v>4430</v>
      </c>
      <c r="I68" s="31">
        <f t="shared" si="11"/>
        <v>3100</v>
      </c>
    </row>
    <row r="69" spans="1:9" x14ac:dyDescent="0.2">
      <c r="A69" s="35" t="s">
        <v>195</v>
      </c>
      <c r="B69" s="36" t="s">
        <v>176</v>
      </c>
      <c r="C69" s="36" t="s">
        <v>173</v>
      </c>
      <c r="D69" s="36" t="s">
        <v>216</v>
      </c>
      <c r="E69" s="44" t="s">
        <v>228</v>
      </c>
      <c r="F69" s="48">
        <v>200</v>
      </c>
      <c r="G69" s="37">
        <f>G70</f>
        <v>3011</v>
      </c>
      <c r="H69" s="37">
        <f t="shared" si="11"/>
        <v>4430</v>
      </c>
      <c r="I69" s="37">
        <f t="shared" si="11"/>
        <v>3100</v>
      </c>
    </row>
    <row r="70" spans="1:9" x14ac:dyDescent="0.2">
      <c r="A70" s="35" t="s">
        <v>197</v>
      </c>
      <c r="B70" s="36" t="s">
        <v>176</v>
      </c>
      <c r="C70" s="36" t="s">
        <v>173</v>
      </c>
      <c r="D70" s="36" t="s">
        <v>216</v>
      </c>
      <c r="E70" s="44" t="s">
        <v>228</v>
      </c>
      <c r="F70" s="48">
        <v>240</v>
      </c>
      <c r="G70" s="37">
        <f>2570+1200-759</f>
        <v>3011</v>
      </c>
      <c r="H70" s="37">
        <f>2830+1600</f>
        <v>4430</v>
      </c>
      <c r="I70" s="37">
        <v>3100</v>
      </c>
    </row>
    <row r="71" spans="1:9" x14ac:dyDescent="0.2">
      <c r="A71" s="50" t="s">
        <v>229</v>
      </c>
      <c r="B71" s="30" t="s">
        <v>176</v>
      </c>
      <c r="C71" s="30" t="s">
        <v>173</v>
      </c>
      <c r="D71" s="30" t="s">
        <v>216</v>
      </c>
      <c r="E71" s="51" t="s">
        <v>230</v>
      </c>
      <c r="F71" s="48"/>
      <c r="G71" s="31">
        <f>G72</f>
        <v>6100</v>
      </c>
      <c r="H71" s="31">
        <f t="shared" ref="H71:I72" si="12">H72</f>
        <v>7000</v>
      </c>
      <c r="I71" s="31">
        <f t="shared" si="12"/>
        <v>7000</v>
      </c>
    </row>
    <row r="72" spans="1:9" x14ac:dyDescent="0.2">
      <c r="A72" s="35" t="s">
        <v>195</v>
      </c>
      <c r="B72" s="36" t="s">
        <v>176</v>
      </c>
      <c r="C72" s="36" t="s">
        <v>173</v>
      </c>
      <c r="D72" s="36" t="s">
        <v>216</v>
      </c>
      <c r="E72" s="44" t="s">
        <v>230</v>
      </c>
      <c r="F72" s="48">
        <v>200</v>
      </c>
      <c r="G72" s="37">
        <f>G73</f>
        <v>6100</v>
      </c>
      <c r="H72" s="37">
        <f t="shared" si="12"/>
        <v>7000</v>
      </c>
      <c r="I72" s="37">
        <f t="shared" si="12"/>
        <v>7000</v>
      </c>
    </row>
    <row r="73" spans="1:9" x14ac:dyDescent="0.2">
      <c r="A73" s="35" t="s">
        <v>197</v>
      </c>
      <c r="B73" s="36" t="s">
        <v>176</v>
      </c>
      <c r="C73" s="36" t="s">
        <v>173</v>
      </c>
      <c r="D73" s="36" t="s">
        <v>216</v>
      </c>
      <c r="E73" s="44" t="s">
        <v>230</v>
      </c>
      <c r="F73" s="48">
        <v>240</v>
      </c>
      <c r="G73" s="37">
        <v>6100</v>
      </c>
      <c r="H73" s="37">
        <v>7000</v>
      </c>
      <c r="I73" s="37">
        <v>7000</v>
      </c>
    </row>
    <row r="74" spans="1:9" x14ac:dyDescent="0.2">
      <c r="A74" s="50" t="s">
        <v>231</v>
      </c>
      <c r="B74" s="30" t="s">
        <v>176</v>
      </c>
      <c r="C74" s="30" t="s">
        <v>173</v>
      </c>
      <c r="D74" s="30" t="s">
        <v>216</v>
      </c>
      <c r="E74" s="51" t="s">
        <v>232</v>
      </c>
      <c r="F74" s="48"/>
      <c r="G74" s="31">
        <f>G75</f>
        <v>42468</v>
      </c>
      <c r="H74" s="31">
        <f t="shared" ref="H74:I75" si="13">H75</f>
        <v>42468</v>
      </c>
      <c r="I74" s="31">
        <f t="shared" si="13"/>
        <v>46700</v>
      </c>
    </row>
    <row r="75" spans="1:9" x14ac:dyDescent="0.2">
      <c r="A75" s="35" t="s">
        <v>195</v>
      </c>
      <c r="B75" s="36" t="s">
        <v>176</v>
      </c>
      <c r="C75" s="36" t="s">
        <v>173</v>
      </c>
      <c r="D75" s="36" t="s">
        <v>216</v>
      </c>
      <c r="E75" s="44" t="s">
        <v>232</v>
      </c>
      <c r="F75" s="48">
        <v>200</v>
      </c>
      <c r="G75" s="37">
        <f>G76</f>
        <v>42468</v>
      </c>
      <c r="H75" s="37">
        <f t="shared" si="13"/>
        <v>42468</v>
      </c>
      <c r="I75" s="37">
        <f t="shared" si="13"/>
        <v>46700</v>
      </c>
    </row>
    <row r="76" spans="1:9" x14ac:dyDescent="0.2">
      <c r="A76" s="35" t="s">
        <v>197</v>
      </c>
      <c r="B76" s="36" t="s">
        <v>176</v>
      </c>
      <c r="C76" s="36" t="s">
        <v>173</v>
      </c>
      <c r="D76" s="36" t="s">
        <v>216</v>
      </c>
      <c r="E76" s="44" t="s">
        <v>232</v>
      </c>
      <c r="F76" s="48">
        <v>240</v>
      </c>
      <c r="G76" s="37">
        <v>42468</v>
      </c>
      <c r="H76" s="37">
        <v>42468</v>
      </c>
      <c r="I76" s="37">
        <v>46700</v>
      </c>
    </row>
    <row r="77" spans="1:9" ht="16.5" customHeight="1" x14ac:dyDescent="0.2">
      <c r="A77" s="29" t="s">
        <v>233</v>
      </c>
      <c r="B77" s="30" t="s">
        <v>176</v>
      </c>
      <c r="C77" s="30" t="s">
        <v>173</v>
      </c>
      <c r="D77" s="30" t="s">
        <v>216</v>
      </c>
      <c r="E77" s="51" t="s">
        <v>234</v>
      </c>
      <c r="F77" s="48"/>
      <c r="G77" s="31">
        <f>G78</f>
        <v>22219</v>
      </c>
      <c r="H77" s="31">
        <f t="shared" ref="H77:I78" si="14">H78</f>
        <v>21700</v>
      </c>
      <c r="I77" s="31">
        <f t="shared" si="14"/>
        <v>18870</v>
      </c>
    </row>
    <row r="78" spans="1:9" x14ac:dyDescent="0.2">
      <c r="A78" s="35" t="s">
        <v>195</v>
      </c>
      <c r="B78" s="36" t="s">
        <v>176</v>
      </c>
      <c r="C78" s="36" t="s">
        <v>173</v>
      </c>
      <c r="D78" s="36" t="s">
        <v>216</v>
      </c>
      <c r="E78" s="44" t="s">
        <v>234</v>
      </c>
      <c r="F78" s="48">
        <v>200</v>
      </c>
      <c r="G78" s="37">
        <f>G79</f>
        <v>22219</v>
      </c>
      <c r="H78" s="37">
        <f t="shared" si="14"/>
        <v>21700</v>
      </c>
      <c r="I78" s="37">
        <f t="shared" si="14"/>
        <v>18870</v>
      </c>
    </row>
    <row r="79" spans="1:9" x14ac:dyDescent="0.2">
      <c r="A79" s="35" t="s">
        <v>197</v>
      </c>
      <c r="B79" s="36" t="s">
        <v>176</v>
      </c>
      <c r="C79" s="36" t="s">
        <v>173</v>
      </c>
      <c r="D79" s="36" t="s">
        <v>216</v>
      </c>
      <c r="E79" s="44" t="s">
        <v>234</v>
      </c>
      <c r="F79" s="48">
        <v>240</v>
      </c>
      <c r="G79" s="37">
        <f>21700+519</f>
        <v>22219</v>
      </c>
      <c r="H79" s="37">
        <v>21700</v>
      </c>
      <c r="I79" s="37">
        <f>23870-5000</f>
        <v>18870</v>
      </c>
    </row>
    <row r="80" spans="1:9" x14ac:dyDescent="0.2">
      <c r="A80" s="39" t="s">
        <v>235</v>
      </c>
      <c r="B80" s="40" t="s">
        <v>176</v>
      </c>
      <c r="C80" s="40" t="s">
        <v>173</v>
      </c>
      <c r="D80" s="40" t="s">
        <v>216</v>
      </c>
      <c r="E80" s="43" t="s">
        <v>236</v>
      </c>
      <c r="F80" s="56"/>
      <c r="G80" s="41">
        <f>G81+G84+G87</f>
        <v>2050</v>
      </c>
      <c r="H80" s="41">
        <f>H81+H84+H87</f>
        <v>11050</v>
      </c>
      <c r="I80" s="41">
        <f>I81+I84+I87</f>
        <v>6050</v>
      </c>
    </row>
    <row r="81" spans="1:9" x14ac:dyDescent="0.2">
      <c r="A81" s="29" t="s">
        <v>237</v>
      </c>
      <c r="B81" s="30" t="s">
        <v>176</v>
      </c>
      <c r="C81" s="30" t="s">
        <v>173</v>
      </c>
      <c r="D81" s="30" t="s">
        <v>216</v>
      </c>
      <c r="E81" s="30" t="s">
        <v>238</v>
      </c>
      <c r="F81" s="55"/>
      <c r="G81" s="31">
        <f>G82</f>
        <v>50</v>
      </c>
      <c r="H81" s="31">
        <f t="shared" ref="H81:I82" si="15">H82</f>
        <v>50</v>
      </c>
      <c r="I81" s="31">
        <f t="shared" si="15"/>
        <v>50</v>
      </c>
    </row>
    <row r="82" spans="1:9" x14ac:dyDescent="0.2">
      <c r="A82" s="35" t="s">
        <v>195</v>
      </c>
      <c r="B82" s="36" t="s">
        <v>176</v>
      </c>
      <c r="C82" s="36" t="s">
        <v>173</v>
      </c>
      <c r="D82" s="36" t="s">
        <v>216</v>
      </c>
      <c r="E82" s="44" t="s">
        <v>238</v>
      </c>
      <c r="F82" s="48">
        <v>200</v>
      </c>
      <c r="G82" s="37">
        <f>G83</f>
        <v>50</v>
      </c>
      <c r="H82" s="37">
        <f t="shared" si="15"/>
        <v>50</v>
      </c>
      <c r="I82" s="37">
        <f t="shared" si="15"/>
        <v>50</v>
      </c>
    </row>
    <row r="83" spans="1:9" x14ac:dyDescent="0.2">
      <c r="A83" s="35" t="s">
        <v>197</v>
      </c>
      <c r="B83" s="36" t="s">
        <v>176</v>
      </c>
      <c r="C83" s="36" t="s">
        <v>173</v>
      </c>
      <c r="D83" s="36" t="s">
        <v>216</v>
      </c>
      <c r="E83" s="44" t="s">
        <v>238</v>
      </c>
      <c r="F83" s="48">
        <v>240</v>
      </c>
      <c r="G83" s="37">
        <v>50</v>
      </c>
      <c r="H83" s="37">
        <v>50</v>
      </c>
      <c r="I83" s="37">
        <v>50</v>
      </c>
    </row>
    <row r="84" spans="1:9" x14ac:dyDescent="0.2">
      <c r="A84" s="29" t="s">
        <v>239</v>
      </c>
      <c r="B84" s="30" t="s">
        <v>176</v>
      </c>
      <c r="C84" s="30" t="s">
        <v>173</v>
      </c>
      <c r="D84" s="30" t="s">
        <v>216</v>
      </c>
      <c r="E84" s="51" t="s">
        <v>240</v>
      </c>
      <c r="F84" s="55"/>
      <c r="G84" s="31">
        <f>G85</f>
        <v>2000</v>
      </c>
      <c r="H84" s="31">
        <f t="shared" ref="H84:I85" si="16">H85</f>
        <v>10000</v>
      </c>
      <c r="I84" s="31">
        <f t="shared" si="16"/>
        <v>5000</v>
      </c>
    </row>
    <row r="85" spans="1:9" x14ac:dyDescent="0.2">
      <c r="A85" s="35" t="s">
        <v>195</v>
      </c>
      <c r="B85" s="36" t="s">
        <v>176</v>
      </c>
      <c r="C85" s="36" t="s">
        <v>173</v>
      </c>
      <c r="D85" s="36" t="s">
        <v>216</v>
      </c>
      <c r="E85" s="44" t="s">
        <v>240</v>
      </c>
      <c r="F85" s="48">
        <v>200</v>
      </c>
      <c r="G85" s="37">
        <f>G86</f>
        <v>2000</v>
      </c>
      <c r="H85" s="37">
        <f t="shared" si="16"/>
        <v>10000</v>
      </c>
      <c r="I85" s="37">
        <f t="shared" si="16"/>
        <v>5000</v>
      </c>
    </row>
    <row r="86" spans="1:9" x14ac:dyDescent="0.2">
      <c r="A86" s="35" t="s">
        <v>197</v>
      </c>
      <c r="B86" s="36" t="s">
        <v>176</v>
      </c>
      <c r="C86" s="36" t="s">
        <v>173</v>
      </c>
      <c r="D86" s="36" t="s">
        <v>216</v>
      </c>
      <c r="E86" s="44" t="s">
        <v>240</v>
      </c>
      <c r="F86" s="48">
        <v>240</v>
      </c>
      <c r="G86" s="37">
        <v>2000</v>
      </c>
      <c r="H86" s="37">
        <v>10000</v>
      </c>
      <c r="I86" s="37">
        <v>5000</v>
      </c>
    </row>
    <row r="87" spans="1:9" x14ac:dyDescent="0.2">
      <c r="A87" s="29" t="s">
        <v>241</v>
      </c>
      <c r="B87" s="30" t="s">
        <v>176</v>
      </c>
      <c r="C87" s="30" t="s">
        <v>173</v>
      </c>
      <c r="D87" s="30" t="s">
        <v>216</v>
      </c>
      <c r="E87" s="51" t="s">
        <v>242</v>
      </c>
      <c r="F87" s="55"/>
      <c r="G87" s="45">
        <f>G88</f>
        <v>0</v>
      </c>
      <c r="H87" s="31">
        <f t="shared" ref="H87:I88" si="17">H88</f>
        <v>1000</v>
      </c>
      <c r="I87" s="31">
        <f t="shared" si="17"/>
        <v>1000</v>
      </c>
    </row>
    <row r="88" spans="1:9" x14ac:dyDescent="0.2">
      <c r="A88" s="35" t="s">
        <v>195</v>
      </c>
      <c r="B88" s="36" t="s">
        <v>176</v>
      </c>
      <c r="C88" s="36" t="s">
        <v>173</v>
      </c>
      <c r="D88" s="36" t="s">
        <v>216</v>
      </c>
      <c r="E88" s="44" t="s">
        <v>242</v>
      </c>
      <c r="F88" s="48">
        <v>200</v>
      </c>
      <c r="G88" s="46">
        <f>G89</f>
        <v>0</v>
      </c>
      <c r="H88" s="37">
        <f t="shared" si="17"/>
        <v>1000</v>
      </c>
      <c r="I88" s="37">
        <f t="shared" si="17"/>
        <v>1000</v>
      </c>
    </row>
    <row r="89" spans="1:9" x14ac:dyDescent="0.2">
      <c r="A89" s="35" t="s">
        <v>197</v>
      </c>
      <c r="B89" s="36" t="s">
        <v>176</v>
      </c>
      <c r="C89" s="36" t="s">
        <v>173</v>
      </c>
      <c r="D89" s="36" t="s">
        <v>216</v>
      </c>
      <c r="E89" s="44" t="s">
        <v>242</v>
      </c>
      <c r="F89" s="48">
        <v>240</v>
      </c>
      <c r="G89" s="46">
        <v>0</v>
      </c>
      <c r="H89" s="37">
        <v>1000</v>
      </c>
      <c r="I89" s="37">
        <v>1000</v>
      </c>
    </row>
    <row r="90" spans="1:9" ht="15" customHeight="1" x14ac:dyDescent="0.2">
      <c r="A90" s="39" t="s">
        <v>243</v>
      </c>
      <c r="B90" s="40" t="s">
        <v>176</v>
      </c>
      <c r="C90" s="40" t="s">
        <v>173</v>
      </c>
      <c r="D90" s="40" t="s">
        <v>216</v>
      </c>
      <c r="E90" s="43" t="s">
        <v>244</v>
      </c>
      <c r="F90" s="56"/>
      <c r="G90" s="41">
        <f>G91</f>
        <v>860</v>
      </c>
      <c r="H90" s="47">
        <f t="shared" ref="H90:I93" si="18">H91</f>
        <v>0</v>
      </c>
      <c r="I90" s="47">
        <f t="shared" si="18"/>
        <v>0</v>
      </c>
    </row>
    <row r="91" spans="1:9" ht="24" x14ac:dyDescent="0.2">
      <c r="A91" s="39" t="s">
        <v>245</v>
      </c>
      <c r="B91" s="40" t="s">
        <v>176</v>
      </c>
      <c r="C91" s="40" t="s">
        <v>173</v>
      </c>
      <c r="D91" s="40" t="s">
        <v>216</v>
      </c>
      <c r="E91" s="43" t="s">
        <v>246</v>
      </c>
      <c r="F91" s="56"/>
      <c r="G91" s="41">
        <f>G92</f>
        <v>860</v>
      </c>
      <c r="H91" s="47">
        <f t="shared" si="18"/>
        <v>0</v>
      </c>
      <c r="I91" s="47">
        <f t="shared" si="18"/>
        <v>0</v>
      </c>
    </row>
    <row r="92" spans="1:9" ht="24" x14ac:dyDescent="0.2">
      <c r="A92" s="29" t="s">
        <v>247</v>
      </c>
      <c r="B92" s="30" t="s">
        <v>176</v>
      </c>
      <c r="C92" s="30" t="s">
        <v>173</v>
      </c>
      <c r="D92" s="30" t="s">
        <v>216</v>
      </c>
      <c r="E92" s="51" t="s">
        <v>248</v>
      </c>
      <c r="F92" s="55"/>
      <c r="G92" s="31">
        <f>G93</f>
        <v>860</v>
      </c>
      <c r="H92" s="45">
        <f t="shared" si="18"/>
        <v>0</v>
      </c>
      <c r="I92" s="45">
        <f t="shared" si="18"/>
        <v>0</v>
      </c>
    </row>
    <row r="93" spans="1:9" x14ac:dyDescent="0.2">
      <c r="A93" s="35" t="s">
        <v>195</v>
      </c>
      <c r="B93" s="36" t="s">
        <v>176</v>
      </c>
      <c r="C93" s="36" t="s">
        <v>173</v>
      </c>
      <c r="D93" s="36" t="s">
        <v>216</v>
      </c>
      <c r="E93" s="44" t="s">
        <v>248</v>
      </c>
      <c r="F93" s="48">
        <v>200</v>
      </c>
      <c r="G93" s="37">
        <f>G94</f>
        <v>860</v>
      </c>
      <c r="H93" s="46">
        <f t="shared" si="18"/>
        <v>0</v>
      </c>
      <c r="I93" s="46">
        <f t="shared" si="18"/>
        <v>0</v>
      </c>
    </row>
    <row r="94" spans="1:9" x14ac:dyDescent="0.2">
      <c r="A94" s="35" t="s">
        <v>197</v>
      </c>
      <c r="B94" s="36" t="s">
        <v>176</v>
      </c>
      <c r="C94" s="36" t="s">
        <v>173</v>
      </c>
      <c r="D94" s="36" t="s">
        <v>216</v>
      </c>
      <c r="E94" s="44" t="s">
        <v>248</v>
      </c>
      <c r="F94" s="48">
        <v>240</v>
      </c>
      <c r="G94" s="37">
        <v>860</v>
      </c>
      <c r="H94" s="46">
        <v>0</v>
      </c>
      <c r="I94" s="46">
        <v>0</v>
      </c>
    </row>
    <row r="95" spans="1:9" x14ac:dyDescent="0.2">
      <c r="A95" s="39" t="s">
        <v>249</v>
      </c>
      <c r="B95" s="40" t="s">
        <v>176</v>
      </c>
      <c r="C95" s="40" t="s">
        <v>173</v>
      </c>
      <c r="D95" s="40" t="s">
        <v>216</v>
      </c>
      <c r="E95" s="202" t="s">
        <v>250</v>
      </c>
      <c r="F95" s="56"/>
      <c r="G95" s="41">
        <f>G96+G100+G104</f>
        <v>1200</v>
      </c>
      <c r="H95" s="41">
        <f>H96+H100+H104</f>
        <v>1200</v>
      </c>
      <c r="I95" s="41">
        <f>I96+I100+I104</f>
        <v>1200</v>
      </c>
    </row>
    <row r="96" spans="1:9" ht="24" x14ac:dyDescent="0.2">
      <c r="A96" s="39" t="s">
        <v>251</v>
      </c>
      <c r="B96" s="40" t="s">
        <v>176</v>
      </c>
      <c r="C96" s="40" t="s">
        <v>173</v>
      </c>
      <c r="D96" s="40" t="s">
        <v>216</v>
      </c>
      <c r="E96" s="43" t="s">
        <v>252</v>
      </c>
      <c r="F96" s="56"/>
      <c r="G96" s="41">
        <f>G97</f>
        <v>800</v>
      </c>
      <c r="H96" s="41">
        <f t="shared" ref="H96:I98" si="19">H97</f>
        <v>800</v>
      </c>
      <c r="I96" s="41">
        <f t="shared" si="19"/>
        <v>800</v>
      </c>
    </row>
    <row r="97" spans="1:9" x14ac:dyDescent="0.2">
      <c r="A97" s="29" t="s">
        <v>253</v>
      </c>
      <c r="B97" s="30" t="s">
        <v>176</v>
      </c>
      <c r="C97" s="30" t="s">
        <v>173</v>
      </c>
      <c r="D97" s="30" t="s">
        <v>216</v>
      </c>
      <c r="E97" s="51" t="s">
        <v>254</v>
      </c>
      <c r="F97" s="48"/>
      <c r="G97" s="31">
        <f>G98</f>
        <v>800</v>
      </c>
      <c r="H97" s="31">
        <f t="shared" si="19"/>
        <v>800</v>
      </c>
      <c r="I97" s="31">
        <f t="shared" si="19"/>
        <v>800</v>
      </c>
    </row>
    <row r="98" spans="1:9" x14ac:dyDescent="0.2">
      <c r="A98" s="35" t="s">
        <v>195</v>
      </c>
      <c r="B98" s="36" t="s">
        <v>176</v>
      </c>
      <c r="C98" s="36" t="s">
        <v>173</v>
      </c>
      <c r="D98" s="36" t="s">
        <v>216</v>
      </c>
      <c r="E98" s="44" t="s">
        <v>254</v>
      </c>
      <c r="F98" s="48">
        <v>200</v>
      </c>
      <c r="G98" s="37">
        <f>G99</f>
        <v>800</v>
      </c>
      <c r="H98" s="37">
        <f t="shared" si="19"/>
        <v>800</v>
      </c>
      <c r="I98" s="37">
        <f t="shared" si="19"/>
        <v>800</v>
      </c>
    </row>
    <row r="99" spans="1:9" x14ac:dyDescent="0.2">
      <c r="A99" s="35" t="s">
        <v>197</v>
      </c>
      <c r="B99" s="36" t="s">
        <v>176</v>
      </c>
      <c r="C99" s="36" t="s">
        <v>173</v>
      </c>
      <c r="D99" s="36" t="s">
        <v>216</v>
      </c>
      <c r="E99" s="44" t="s">
        <v>254</v>
      </c>
      <c r="F99" s="48">
        <v>240</v>
      </c>
      <c r="G99" s="37">
        <v>800</v>
      </c>
      <c r="H99" s="37">
        <v>800</v>
      </c>
      <c r="I99" s="37">
        <v>800</v>
      </c>
    </row>
    <row r="100" spans="1:9" ht="24" x14ac:dyDescent="0.2">
      <c r="A100" s="39" t="s">
        <v>255</v>
      </c>
      <c r="B100" s="40" t="s">
        <v>176</v>
      </c>
      <c r="C100" s="40" t="s">
        <v>173</v>
      </c>
      <c r="D100" s="40" t="s">
        <v>216</v>
      </c>
      <c r="E100" s="202" t="s">
        <v>256</v>
      </c>
      <c r="F100" s="56"/>
      <c r="G100" s="41">
        <f>G101</f>
        <v>250</v>
      </c>
      <c r="H100" s="41">
        <f t="shared" ref="H100:I102" si="20">H101</f>
        <v>250</v>
      </c>
      <c r="I100" s="41">
        <f t="shared" si="20"/>
        <v>250</v>
      </c>
    </row>
    <row r="101" spans="1:9" ht="24" x14ac:dyDescent="0.2">
      <c r="A101" s="29" t="s">
        <v>257</v>
      </c>
      <c r="B101" s="30" t="s">
        <v>176</v>
      </c>
      <c r="C101" s="30" t="s">
        <v>173</v>
      </c>
      <c r="D101" s="30" t="s">
        <v>216</v>
      </c>
      <c r="E101" s="51" t="s">
        <v>258</v>
      </c>
      <c r="F101" s="48"/>
      <c r="G101" s="31">
        <f>G102</f>
        <v>250</v>
      </c>
      <c r="H101" s="31">
        <f t="shared" si="20"/>
        <v>250</v>
      </c>
      <c r="I101" s="31">
        <f t="shared" si="20"/>
        <v>250</v>
      </c>
    </row>
    <row r="102" spans="1:9" x14ac:dyDescent="0.2">
      <c r="A102" s="35" t="s">
        <v>195</v>
      </c>
      <c r="B102" s="36" t="s">
        <v>176</v>
      </c>
      <c r="C102" s="36" t="s">
        <v>173</v>
      </c>
      <c r="D102" s="36" t="s">
        <v>216</v>
      </c>
      <c r="E102" s="44" t="s">
        <v>258</v>
      </c>
      <c r="F102" s="48">
        <v>200</v>
      </c>
      <c r="G102" s="37">
        <f>G103</f>
        <v>250</v>
      </c>
      <c r="H102" s="37">
        <f t="shared" si="20"/>
        <v>250</v>
      </c>
      <c r="I102" s="37">
        <f t="shared" si="20"/>
        <v>250</v>
      </c>
    </row>
    <row r="103" spans="1:9" x14ac:dyDescent="0.2">
      <c r="A103" s="35" t="s">
        <v>197</v>
      </c>
      <c r="B103" s="36" t="s">
        <v>176</v>
      </c>
      <c r="C103" s="36" t="s">
        <v>173</v>
      </c>
      <c r="D103" s="36" t="s">
        <v>216</v>
      </c>
      <c r="E103" s="44" t="s">
        <v>258</v>
      </c>
      <c r="F103" s="48">
        <v>240</v>
      </c>
      <c r="G103" s="37">
        <v>250</v>
      </c>
      <c r="H103" s="37">
        <v>250</v>
      </c>
      <c r="I103" s="37">
        <v>250</v>
      </c>
    </row>
    <row r="104" spans="1:9" ht="24" x14ac:dyDescent="0.2">
      <c r="A104" s="39" t="s">
        <v>259</v>
      </c>
      <c r="B104" s="40" t="s">
        <v>176</v>
      </c>
      <c r="C104" s="40" t="s">
        <v>173</v>
      </c>
      <c r="D104" s="40" t="s">
        <v>216</v>
      </c>
      <c r="E104" s="202" t="s">
        <v>260</v>
      </c>
      <c r="F104" s="56"/>
      <c r="G104" s="41">
        <f>G105</f>
        <v>150</v>
      </c>
      <c r="H104" s="41">
        <f t="shared" ref="H104:I106" si="21">H105</f>
        <v>150</v>
      </c>
      <c r="I104" s="41">
        <f t="shared" si="21"/>
        <v>150</v>
      </c>
    </row>
    <row r="105" spans="1:9" ht="48" x14ac:dyDescent="0.2">
      <c r="A105" s="29" t="s">
        <v>261</v>
      </c>
      <c r="B105" s="30" t="s">
        <v>176</v>
      </c>
      <c r="C105" s="30" t="s">
        <v>173</v>
      </c>
      <c r="D105" s="30" t="s">
        <v>216</v>
      </c>
      <c r="E105" s="51" t="s">
        <v>262</v>
      </c>
      <c r="F105" s="48"/>
      <c r="G105" s="31">
        <f>G106</f>
        <v>150</v>
      </c>
      <c r="H105" s="31">
        <f t="shared" si="21"/>
        <v>150</v>
      </c>
      <c r="I105" s="31">
        <f t="shared" si="21"/>
        <v>150</v>
      </c>
    </row>
    <row r="106" spans="1:9" x14ac:dyDescent="0.2">
      <c r="A106" s="35" t="s">
        <v>195</v>
      </c>
      <c r="B106" s="36" t="s">
        <v>176</v>
      </c>
      <c r="C106" s="36" t="s">
        <v>173</v>
      </c>
      <c r="D106" s="36" t="s">
        <v>216</v>
      </c>
      <c r="E106" s="44" t="s">
        <v>262</v>
      </c>
      <c r="F106" s="48">
        <v>200</v>
      </c>
      <c r="G106" s="37">
        <f>G107</f>
        <v>150</v>
      </c>
      <c r="H106" s="37">
        <f t="shared" si="21"/>
        <v>150</v>
      </c>
      <c r="I106" s="37">
        <f t="shared" si="21"/>
        <v>150</v>
      </c>
    </row>
    <row r="107" spans="1:9" x14ac:dyDescent="0.2">
      <c r="A107" s="35" t="s">
        <v>197</v>
      </c>
      <c r="B107" s="36" t="s">
        <v>176</v>
      </c>
      <c r="C107" s="36" t="s">
        <v>173</v>
      </c>
      <c r="D107" s="36" t="s">
        <v>216</v>
      </c>
      <c r="E107" s="44" t="s">
        <v>262</v>
      </c>
      <c r="F107" s="48">
        <v>240</v>
      </c>
      <c r="G107" s="37">
        <v>150</v>
      </c>
      <c r="H107" s="37">
        <v>150</v>
      </c>
      <c r="I107" s="37">
        <v>150</v>
      </c>
    </row>
    <row r="108" spans="1:9" x14ac:dyDescent="0.2">
      <c r="A108" s="39" t="s">
        <v>178</v>
      </c>
      <c r="B108" s="40">
        <v>598</v>
      </c>
      <c r="C108" s="40" t="s">
        <v>173</v>
      </c>
      <c r="D108" s="40" t="s">
        <v>216</v>
      </c>
      <c r="E108" s="40" t="s">
        <v>189</v>
      </c>
      <c r="F108" s="40"/>
      <c r="G108" s="41">
        <f>G109</f>
        <v>112343.30769</v>
      </c>
      <c r="H108" s="41">
        <f t="shared" ref="H108:I108" si="22">H109</f>
        <v>83113.2</v>
      </c>
      <c r="I108" s="41">
        <f t="shared" si="22"/>
        <v>98113.2</v>
      </c>
    </row>
    <row r="109" spans="1:9" x14ac:dyDescent="0.2">
      <c r="A109" s="29" t="s">
        <v>180</v>
      </c>
      <c r="B109" s="30" t="s">
        <v>176</v>
      </c>
      <c r="C109" s="30" t="s">
        <v>173</v>
      </c>
      <c r="D109" s="30" t="s">
        <v>216</v>
      </c>
      <c r="E109" s="30" t="s">
        <v>190</v>
      </c>
      <c r="F109" s="30"/>
      <c r="G109" s="31">
        <f>G110+G125+G129+G132+G135+G138</f>
        <v>112343.30769</v>
      </c>
      <c r="H109" s="31">
        <f>H110+H125+H129+H132+H135+H138</f>
        <v>83113.2</v>
      </c>
      <c r="I109" s="31">
        <f>I110+I125+I129+I132+I135+I138</f>
        <v>98113.2</v>
      </c>
    </row>
    <row r="110" spans="1:9" x14ac:dyDescent="0.2">
      <c r="A110" s="52" t="s">
        <v>263</v>
      </c>
      <c r="B110" s="49" t="s">
        <v>176</v>
      </c>
      <c r="C110" s="49" t="s">
        <v>173</v>
      </c>
      <c r="D110" s="49" t="s">
        <v>216</v>
      </c>
      <c r="E110" s="49" t="s">
        <v>190</v>
      </c>
      <c r="F110" s="40"/>
      <c r="G110" s="53">
        <f>G111+G118</f>
        <v>103124.83900000001</v>
      </c>
      <c r="H110" s="53">
        <f>H111+H118</f>
        <v>83113.2</v>
      </c>
      <c r="I110" s="53">
        <f>I111+I118</f>
        <v>98113.2</v>
      </c>
    </row>
    <row r="111" spans="1:9" x14ac:dyDescent="0.2">
      <c r="A111" s="29" t="s">
        <v>264</v>
      </c>
      <c r="B111" s="30" t="s">
        <v>176</v>
      </c>
      <c r="C111" s="30" t="s">
        <v>173</v>
      </c>
      <c r="D111" s="30" t="s">
        <v>216</v>
      </c>
      <c r="E111" s="30" t="s">
        <v>265</v>
      </c>
      <c r="F111" s="30"/>
      <c r="G111" s="31">
        <f>G112+G114+G116</f>
        <v>91244.578000000009</v>
      </c>
      <c r="H111" s="31">
        <f>H112+H114+H116</f>
        <v>73071.8</v>
      </c>
      <c r="I111" s="31">
        <f>I112+I114+I116</f>
        <v>88071.8</v>
      </c>
    </row>
    <row r="112" spans="1:9" ht="24" x14ac:dyDescent="0.2">
      <c r="A112" s="35" t="s">
        <v>185</v>
      </c>
      <c r="B112" s="36" t="s">
        <v>176</v>
      </c>
      <c r="C112" s="36" t="s">
        <v>173</v>
      </c>
      <c r="D112" s="36" t="s">
        <v>216</v>
      </c>
      <c r="E112" s="36" t="s">
        <v>265</v>
      </c>
      <c r="F112" s="36" t="s">
        <v>186</v>
      </c>
      <c r="G112" s="37">
        <f>G113</f>
        <v>47624.578000000001</v>
      </c>
      <c r="H112" s="37">
        <f t="shared" ref="H112:I112" si="23">H113</f>
        <v>44851.8</v>
      </c>
      <c r="I112" s="37">
        <f t="shared" si="23"/>
        <v>44851.8</v>
      </c>
    </row>
    <row r="113" spans="1:9" x14ac:dyDescent="0.2">
      <c r="A113" s="35" t="s">
        <v>266</v>
      </c>
      <c r="B113" s="36" t="s">
        <v>176</v>
      </c>
      <c r="C113" s="36" t="s">
        <v>173</v>
      </c>
      <c r="D113" s="36" t="s">
        <v>216</v>
      </c>
      <c r="E113" s="36" t="s">
        <v>265</v>
      </c>
      <c r="F113" s="36" t="s">
        <v>267</v>
      </c>
      <c r="G113" s="37">
        <f>34348.4+100+10403.4+2772.778</f>
        <v>47624.578000000001</v>
      </c>
      <c r="H113" s="37">
        <f t="shared" ref="H113:I113" si="24">34348.4+100+10403.4</f>
        <v>44851.8</v>
      </c>
      <c r="I113" s="37">
        <f t="shared" si="24"/>
        <v>44851.8</v>
      </c>
    </row>
    <row r="114" spans="1:9" x14ac:dyDescent="0.2">
      <c r="A114" s="35" t="s">
        <v>195</v>
      </c>
      <c r="B114" s="36" t="s">
        <v>176</v>
      </c>
      <c r="C114" s="36" t="s">
        <v>173</v>
      </c>
      <c r="D114" s="36" t="s">
        <v>216</v>
      </c>
      <c r="E114" s="36" t="s">
        <v>265</v>
      </c>
      <c r="F114" s="36" t="s">
        <v>196</v>
      </c>
      <c r="G114" s="37">
        <f>G115</f>
        <v>43370</v>
      </c>
      <c r="H114" s="37">
        <f t="shared" ref="H114:I114" si="25">H115</f>
        <v>27970</v>
      </c>
      <c r="I114" s="37">
        <f t="shared" si="25"/>
        <v>42970</v>
      </c>
    </row>
    <row r="115" spans="1:9" x14ac:dyDescent="0.2">
      <c r="A115" s="35" t="s">
        <v>197</v>
      </c>
      <c r="B115" s="36" t="s">
        <v>176</v>
      </c>
      <c r="C115" s="36" t="s">
        <v>173</v>
      </c>
      <c r="D115" s="36" t="s">
        <v>216</v>
      </c>
      <c r="E115" s="36" t="s">
        <v>265</v>
      </c>
      <c r="F115" s="36" t="s">
        <v>198</v>
      </c>
      <c r="G115" s="37">
        <f>150+5000+11545+400+16725+5000+4150+100+300</f>
        <v>43370</v>
      </c>
      <c r="H115" s="37">
        <f>150+5000+11545+400+16725+5000+4150-15000</f>
        <v>27970</v>
      </c>
      <c r="I115" s="37">
        <f>150+5000+11545+400+16725+5000+4150</f>
        <v>42970</v>
      </c>
    </row>
    <row r="116" spans="1:9" x14ac:dyDescent="0.2">
      <c r="A116" s="35" t="s">
        <v>199</v>
      </c>
      <c r="B116" s="36" t="s">
        <v>176</v>
      </c>
      <c r="C116" s="36" t="s">
        <v>173</v>
      </c>
      <c r="D116" s="36" t="s">
        <v>216</v>
      </c>
      <c r="E116" s="36" t="s">
        <v>265</v>
      </c>
      <c r="F116" s="36" t="s">
        <v>200</v>
      </c>
      <c r="G116" s="37">
        <f>G117</f>
        <v>250</v>
      </c>
      <c r="H116" s="37">
        <f t="shared" ref="H116:I116" si="26">H117</f>
        <v>250</v>
      </c>
      <c r="I116" s="37">
        <f t="shared" si="26"/>
        <v>250</v>
      </c>
    </row>
    <row r="117" spans="1:9" x14ac:dyDescent="0.2">
      <c r="A117" s="35" t="s">
        <v>201</v>
      </c>
      <c r="B117" s="36" t="s">
        <v>176</v>
      </c>
      <c r="C117" s="36" t="s">
        <v>173</v>
      </c>
      <c r="D117" s="36" t="s">
        <v>216</v>
      </c>
      <c r="E117" s="36" t="s">
        <v>265</v>
      </c>
      <c r="F117" s="36" t="s">
        <v>202</v>
      </c>
      <c r="G117" s="37">
        <v>250</v>
      </c>
      <c r="H117" s="37">
        <v>250</v>
      </c>
      <c r="I117" s="37">
        <v>250</v>
      </c>
    </row>
    <row r="118" spans="1:9" x14ac:dyDescent="0.2">
      <c r="A118" s="29" t="s">
        <v>268</v>
      </c>
      <c r="B118" s="30" t="s">
        <v>176</v>
      </c>
      <c r="C118" s="30" t="s">
        <v>173</v>
      </c>
      <c r="D118" s="30" t="s">
        <v>216</v>
      </c>
      <c r="E118" s="30" t="s">
        <v>269</v>
      </c>
      <c r="F118" s="30"/>
      <c r="G118" s="31">
        <f>G119+G121+G123</f>
        <v>11880.261</v>
      </c>
      <c r="H118" s="31">
        <f>H119+H121+H123</f>
        <v>10041.4</v>
      </c>
      <c r="I118" s="31">
        <f>I119+I121+I123</f>
        <v>10041.4</v>
      </c>
    </row>
    <row r="119" spans="1:9" ht="24" x14ac:dyDescent="0.2">
      <c r="A119" s="35" t="s">
        <v>185</v>
      </c>
      <c r="B119" s="36" t="s">
        <v>176</v>
      </c>
      <c r="C119" s="36" t="s">
        <v>173</v>
      </c>
      <c r="D119" s="36" t="s">
        <v>216</v>
      </c>
      <c r="E119" s="36" t="s">
        <v>269</v>
      </c>
      <c r="F119" s="36" t="s">
        <v>186</v>
      </c>
      <c r="G119" s="37">
        <f>G120</f>
        <v>11140.261</v>
      </c>
      <c r="H119" s="37">
        <f t="shared" ref="H119:I119" si="27">H120</f>
        <v>9301.4</v>
      </c>
      <c r="I119" s="37">
        <f t="shared" si="27"/>
        <v>9301.4</v>
      </c>
    </row>
    <row r="120" spans="1:9" x14ac:dyDescent="0.2">
      <c r="A120" s="35" t="s">
        <v>266</v>
      </c>
      <c r="B120" s="36" t="s">
        <v>176</v>
      </c>
      <c r="C120" s="36" t="s">
        <v>173</v>
      </c>
      <c r="D120" s="36" t="s">
        <v>216</v>
      </c>
      <c r="E120" s="36" t="s">
        <v>269</v>
      </c>
      <c r="F120" s="36" t="s">
        <v>267</v>
      </c>
      <c r="G120" s="37">
        <f>6914.9+25.5+2096+30+235+1838.861</f>
        <v>11140.261</v>
      </c>
      <c r="H120" s="37">
        <f t="shared" ref="H120:I120" si="28">6914.9+25.5+2096+30+235</f>
        <v>9301.4</v>
      </c>
      <c r="I120" s="37">
        <f t="shared" si="28"/>
        <v>9301.4</v>
      </c>
    </row>
    <row r="121" spans="1:9" x14ac:dyDescent="0.2">
      <c r="A121" s="35" t="s">
        <v>195</v>
      </c>
      <c r="B121" s="36" t="s">
        <v>176</v>
      </c>
      <c r="C121" s="36" t="s">
        <v>173</v>
      </c>
      <c r="D121" s="36" t="s">
        <v>216</v>
      </c>
      <c r="E121" s="36" t="s">
        <v>269</v>
      </c>
      <c r="F121" s="36" t="s">
        <v>196</v>
      </c>
      <c r="G121" s="37">
        <f>G122</f>
        <v>725</v>
      </c>
      <c r="H121" s="37">
        <f t="shared" ref="H121:I121" si="29">H122</f>
        <v>725</v>
      </c>
      <c r="I121" s="37">
        <f t="shared" si="29"/>
        <v>725</v>
      </c>
    </row>
    <row r="122" spans="1:9" x14ac:dyDescent="0.2">
      <c r="A122" s="35" t="s">
        <v>197</v>
      </c>
      <c r="B122" s="36" t="s">
        <v>176</v>
      </c>
      <c r="C122" s="36" t="s">
        <v>173</v>
      </c>
      <c r="D122" s="36" t="s">
        <v>216</v>
      </c>
      <c r="E122" s="36" t="s">
        <v>269</v>
      </c>
      <c r="F122" s="36" t="s">
        <v>198</v>
      </c>
      <c r="G122" s="37">
        <f>10+60+285+250+120</f>
        <v>725</v>
      </c>
      <c r="H122" s="37">
        <f t="shared" ref="H122:I122" si="30">10+60+285+250+120</f>
        <v>725</v>
      </c>
      <c r="I122" s="37">
        <f t="shared" si="30"/>
        <v>725</v>
      </c>
    </row>
    <row r="123" spans="1:9" x14ac:dyDescent="0.2">
      <c r="A123" s="35" t="s">
        <v>199</v>
      </c>
      <c r="B123" s="36" t="s">
        <v>176</v>
      </c>
      <c r="C123" s="36" t="s">
        <v>173</v>
      </c>
      <c r="D123" s="36" t="s">
        <v>216</v>
      </c>
      <c r="E123" s="36" t="s">
        <v>269</v>
      </c>
      <c r="F123" s="36" t="s">
        <v>200</v>
      </c>
      <c r="G123" s="37">
        <f>G124</f>
        <v>15</v>
      </c>
      <c r="H123" s="37">
        <f t="shared" ref="H123:I123" si="31">H124</f>
        <v>15</v>
      </c>
      <c r="I123" s="37">
        <f t="shared" si="31"/>
        <v>15</v>
      </c>
    </row>
    <row r="124" spans="1:9" x14ac:dyDescent="0.2">
      <c r="A124" s="35" t="s">
        <v>201</v>
      </c>
      <c r="B124" s="36" t="s">
        <v>176</v>
      </c>
      <c r="C124" s="36" t="s">
        <v>173</v>
      </c>
      <c r="D124" s="36" t="s">
        <v>216</v>
      </c>
      <c r="E124" s="36" t="s">
        <v>269</v>
      </c>
      <c r="F124" s="36" t="s">
        <v>202</v>
      </c>
      <c r="G124" s="37">
        <v>15</v>
      </c>
      <c r="H124" s="37">
        <v>15</v>
      </c>
      <c r="I124" s="37">
        <v>15</v>
      </c>
    </row>
    <row r="125" spans="1:9" x14ac:dyDescent="0.2">
      <c r="A125" s="29" t="s">
        <v>270</v>
      </c>
      <c r="B125" s="30" t="s">
        <v>176</v>
      </c>
      <c r="C125" s="30" t="s">
        <v>173</v>
      </c>
      <c r="D125" s="30" t="s">
        <v>216</v>
      </c>
      <c r="E125" s="51" t="s">
        <v>271</v>
      </c>
      <c r="F125" s="30"/>
      <c r="G125" s="31">
        <f>G126</f>
        <v>2000</v>
      </c>
      <c r="H125" s="45">
        <f t="shared" ref="H125:I125" si="32">H126</f>
        <v>0</v>
      </c>
      <c r="I125" s="45">
        <f t="shared" si="32"/>
        <v>0</v>
      </c>
    </row>
    <row r="126" spans="1:9" x14ac:dyDescent="0.2">
      <c r="A126" s="35" t="s">
        <v>199</v>
      </c>
      <c r="B126" s="36" t="s">
        <v>176</v>
      </c>
      <c r="C126" s="36" t="s">
        <v>173</v>
      </c>
      <c r="D126" s="36" t="s">
        <v>216</v>
      </c>
      <c r="E126" s="44" t="s">
        <v>271</v>
      </c>
      <c r="F126" s="36" t="s">
        <v>200</v>
      </c>
      <c r="G126" s="37">
        <f>G127+G128</f>
        <v>2000</v>
      </c>
      <c r="H126" s="46">
        <f>H127+H128</f>
        <v>0</v>
      </c>
      <c r="I126" s="46">
        <f>I127+I128</f>
        <v>0</v>
      </c>
    </row>
    <row r="127" spans="1:9" x14ac:dyDescent="0.2">
      <c r="A127" s="35" t="s">
        <v>272</v>
      </c>
      <c r="B127" s="36" t="s">
        <v>176</v>
      </c>
      <c r="C127" s="36" t="s">
        <v>173</v>
      </c>
      <c r="D127" s="36" t="s">
        <v>216</v>
      </c>
      <c r="E127" s="44" t="s">
        <v>271</v>
      </c>
      <c r="F127" s="36" t="s">
        <v>273</v>
      </c>
      <c r="G127" s="37">
        <v>1700</v>
      </c>
      <c r="H127" s="46">
        <v>0</v>
      </c>
      <c r="I127" s="46">
        <v>0</v>
      </c>
    </row>
    <row r="128" spans="1:9" x14ac:dyDescent="0.2">
      <c r="A128" s="35" t="s">
        <v>201</v>
      </c>
      <c r="B128" s="36" t="s">
        <v>176</v>
      </c>
      <c r="C128" s="36" t="s">
        <v>173</v>
      </c>
      <c r="D128" s="36" t="s">
        <v>216</v>
      </c>
      <c r="E128" s="44" t="s">
        <v>271</v>
      </c>
      <c r="F128" s="36" t="s">
        <v>202</v>
      </c>
      <c r="G128" s="37">
        <v>300</v>
      </c>
      <c r="H128" s="46">
        <v>0</v>
      </c>
      <c r="I128" s="46">
        <v>0</v>
      </c>
    </row>
    <row r="129" spans="1:9" ht="24" x14ac:dyDescent="0.2">
      <c r="A129" s="29" t="s">
        <v>274</v>
      </c>
      <c r="B129" s="30" t="s">
        <v>176</v>
      </c>
      <c r="C129" s="30" t="s">
        <v>173</v>
      </c>
      <c r="D129" s="30" t="s">
        <v>216</v>
      </c>
      <c r="E129" s="30" t="s">
        <v>275</v>
      </c>
      <c r="F129" s="30"/>
      <c r="G129" s="31">
        <f>G130</f>
        <v>568.4686899999997</v>
      </c>
      <c r="H129" s="45">
        <f t="shared" ref="H129:I130" si="33">H130</f>
        <v>0</v>
      </c>
      <c r="I129" s="45">
        <f t="shared" si="33"/>
        <v>0</v>
      </c>
    </row>
    <row r="130" spans="1:9" x14ac:dyDescent="0.2">
      <c r="A130" s="35" t="s">
        <v>199</v>
      </c>
      <c r="B130" s="36" t="s">
        <v>176</v>
      </c>
      <c r="C130" s="36" t="s">
        <v>173</v>
      </c>
      <c r="D130" s="36" t="s">
        <v>216</v>
      </c>
      <c r="E130" s="36" t="s">
        <v>275</v>
      </c>
      <c r="F130" s="36" t="s">
        <v>200</v>
      </c>
      <c r="G130" s="37">
        <f>G131</f>
        <v>568.4686899999997</v>
      </c>
      <c r="H130" s="46">
        <f t="shared" si="33"/>
        <v>0</v>
      </c>
      <c r="I130" s="46">
        <f t="shared" si="33"/>
        <v>0</v>
      </c>
    </row>
    <row r="131" spans="1:9" x14ac:dyDescent="0.2">
      <c r="A131" s="35" t="s">
        <v>201</v>
      </c>
      <c r="B131" s="36" t="s">
        <v>176</v>
      </c>
      <c r="C131" s="36" t="s">
        <v>173</v>
      </c>
      <c r="D131" s="36" t="s">
        <v>216</v>
      </c>
      <c r="E131" s="36" t="s">
        <v>275</v>
      </c>
      <c r="F131" s="36" t="s">
        <v>202</v>
      </c>
      <c r="G131" s="37">
        <f>16000-750-4161.53131-7000-3520</f>
        <v>568.4686899999997</v>
      </c>
      <c r="H131" s="46">
        <v>0</v>
      </c>
      <c r="I131" s="46">
        <v>0</v>
      </c>
    </row>
    <row r="132" spans="1:9" x14ac:dyDescent="0.2">
      <c r="A132" s="29" t="s">
        <v>276</v>
      </c>
      <c r="B132" s="30" t="s">
        <v>176</v>
      </c>
      <c r="C132" s="30" t="s">
        <v>173</v>
      </c>
      <c r="D132" s="30" t="s">
        <v>216</v>
      </c>
      <c r="E132" s="30" t="s">
        <v>277</v>
      </c>
      <c r="F132" s="30"/>
      <c r="G132" s="31">
        <f>G133</f>
        <v>5000</v>
      </c>
      <c r="H132" s="45">
        <f t="shared" ref="H132:I133" si="34">H133</f>
        <v>0</v>
      </c>
      <c r="I132" s="45">
        <f t="shared" si="34"/>
        <v>0</v>
      </c>
    </row>
    <row r="133" spans="1:9" x14ac:dyDescent="0.2">
      <c r="A133" s="35" t="s">
        <v>199</v>
      </c>
      <c r="B133" s="36" t="s">
        <v>176</v>
      </c>
      <c r="C133" s="36" t="s">
        <v>173</v>
      </c>
      <c r="D133" s="36" t="s">
        <v>216</v>
      </c>
      <c r="E133" s="36" t="s">
        <v>277</v>
      </c>
      <c r="F133" s="36" t="s">
        <v>200</v>
      </c>
      <c r="G133" s="37">
        <f>G134</f>
        <v>5000</v>
      </c>
      <c r="H133" s="46">
        <f t="shared" si="34"/>
        <v>0</v>
      </c>
      <c r="I133" s="46">
        <f t="shared" si="34"/>
        <v>0</v>
      </c>
    </row>
    <row r="134" spans="1:9" x14ac:dyDescent="0.2">
      <c r="A134" s="35" t="s">
        <v>201</v>
      </c>
      <c r="B134" s="36" t="s">
        <v>176</v>
      </c>
      <c r="C134" s="36" t="s">
        <v>173</v>
      </c>
      <c r="D134" s="36" t="s">
        <v>216</v>
      </c>
      <c r="E134" s="36" t="s">
        <v>277</v>
      </c>
      <c r="F134" s="36" t="s">
        <v>202</v>
      </c>
      <c r="G134" s="37">
        <v>5000</v>
      </c>
      <c r="H134" s="46">
        <v>0</v>
      </c>
      <c r="I134" s="46">
        <v>0</v>
      </c>
    </row>
    <row r="135" spans="1:9" ht="16.5" customHeight="1" x14ac:dyDescent="0.2">
      <c r="A135" s="39" t="s">
        <v>278</v>
      </c>
      <c r="B135" s="40" t="s">
        <v>176</v>
      </c>
      <c r="C135" s="40" t="s">
        <v>173</v>
      </c>
      <c r="D135" s="40" t="s">
        <v>216</v>
      </c>
      <c r="E135" s="40" t="s">
        <v>279</v>
      </c>
      <c r="F135" s="56"/>
      <c r="G135" s="41">
        <f t="shared" ref="G135:I136" si="35">G136</f>
        <v>1000</v>
      </c>
      <c r="H135" s="47">
        <f t="shared" si="35"/>
        <v>0</v>
      </c>
      <c r="I135" s="47">
        <f t="shared" si="35"/>
        <v>0</v>
      </c>
    </row>
    <row r="136" spans="1:9" x14ac:dyDescent="0.2">
      <c r="A136" s="35" t="s">
        <v>195</v>
      </c>
      <c r="B136" s="36" t="s">
        <v>176</v>
      </c>
      <c r="C136" s="36" t="s">
        <v>173</v>
      </c>
      <c r="D136" s="36" t="s">
        <v>216</v>
      </c>
      <c r="E136" s="36" t="s">
        <v>279</v>
      </c>
      <c r="F136" s="48">
        <v>200</v>
      </c>
      <c r="G136" s="37">
        <f t="shared" si="35"/>
        <v>1000</v>
      </c>
      <c r="H136" s="46">
        <f t="shared" si="35"/>
        <v>0</v>
      </c>
      <c r="I136" s="46">
        <f t="shared" si="35"/>
        <v>0</v>
      </c>
    </row>
    <row r="137" spans="1:9" x14ac:dyDescent="0.2">
      <c r="A137" s="35" t="s">
        <v>197</v>
      </c>
      <c r="B137" s="48">
        <v>598</v>
      </c>
      <c r="C137" s="36" t="s">
        <v>173</v>
      </c>
      <c r="D137" s="36" t="s">
        <v>216</v>
      </c>
      <c r="E137" s="36" t="s">
        <v>279</v>
      </c>
      <c r="F137" s="36" t="s">
        <v>198</v>
      </c>
      <c r="G137" s="37">
        <f>200+800</f>
        <v>1000</v>
      </c>
      <c r="H137" s="46">
        <v>0</v>
      </c>
      <c r="I137" s="46">
        <v>0</v>
      </c>
    </row>
    <row r="138" spans="1:9" x14ac:dyDescent="0.2">
      <c r="A138" s="39" t="s">
        <v>280</v>
      </c>
      <c r="B138" s="40" t="s">
        <v>176</v>
      </c>
      <c r="C138" s="40" t="s">
        <v>173</v>
      </c>
      <c r="D138" s="40" t="s">
        <v>216</v>
      </c>
      <c r="E138" s="40" t="s">
        <v>281</v>
      </c>
      <c r="F138" s="40"/>
      <c r="G138" s="47">
        <f>G139</f>
        <v>650</v>
      </c>
      <c r="H138" s="47">
        <f t="shared" ref="H138:I139" si="36">H139</f>
        <v>0</v>
      </c>
      <c r="I138" s="47">
        <f t="shared" si="36"/>
        <v>0</v>
      </c>
    </row>
    <row r="139" spans="1:9" x14ac:dyDescent="0.2">
      <c r="A139" s="35" t="s">
        <v>195</v>
      </c>
      <c r="B139" s="36" t="s">
        <v>176</v>
      </c>
      <c r="C139" s="36" t="s">
        <v>173</v>
      </c>
      <c r="D139" s="36" t="s">
        <v>216</v>
      </c>
      <c r="E139" s="36" t="s">
        <v>281</v>
      </c>
      <c r="F139" s="48">
        <v>200</v>
      </c>
      <c r="G139" s="46">
        <f>G140</f>
        <v>650</v>
      </c>
      <c r="H139" s="46">
        <f t="shared" si="36"/>
        <v>0</v>
      </c>
      <c r="I139" s="46">
        <f t="shared" si="36"/>
        <v>0</v>
      </c>
    </row>
    <row r="140" spans="1:9" x14ac:dyDescent="0.2">
      <c r="A140" s="35" t="s">
        <v>197</v>
      </c>
      <c r="B140" s="48">
        <v>598</v>
      </c>
      <c r="C140" s="36" t="s">
        <v>173</v>
      </c>
      <c r="D140" s="36" t="s">
        <v>216</v>
      </c>
      <c r="E140" s="36" t="s">
        <v>281</v>
      </c>
      <c r="F140" s="36" t="s">
        <v>198</v>
      </c>
      <c r="G140" s="46">
        <v>650</v>
      </c>
      <c r="H140" s="46">
        <v>0</v>
      </c>
      <c r="I140" s="46">
        <v>0</v>
      </c>
    </row>
    <row r="141" spans="1:9" x14ac:dyDescent="0.2">
      <c r="A141" s="29" t="s">
        <v>282</v>
      </c>
      <c r="B141" s="30">
        <v>598</v>
      </c>
      <c r="C141" s="30" t="s">
        <v>283</v>
      </c>
      <c r="D141" s="30" t="s">
        <v>174</v>
      </c>
      <c r="E141" s="30"/>
      <c r="F141" s="30"/>
      <c r="G141" s="31">
        <f>G142</f>
        <v>12894.001</v>
      </c>
      <c r="H141" s="31">
        <f t="shared" ref="H141:I143" si="37">H142</f>
        <v>8497</v>
      </c>
      <c r="I141" s="31">
        <f t="shared" si="37"/>
        <v>8497</v>
      </c>
    </row>
    <row r="142" spans="1:9" ht="16.5" customHeight="1" x14ac:dyDescent="0.2">
      <c r="A142" s="29" t="s">
        <v>773</v>
      </c>
      <c r="B142" s="30" t="s">
        <v>176</v>
      </c>
      <c r="C142" s="30" t="s">
        <v>283</v>
      </c>
      <c r="D142" s="30" t="s">
        <v>284</v>
      </c>
      <c r="E142" s="30"/>
      <c r="F142" s="30"/>
      <c r="G142" s="31">
        <f>G143</f>
        <v>12894.001</v>
      </c>
      <c r="H142" s="31">
        <f t="shared" si="37"/>
        <v>8497</v>
      </c>
      <c r="I142" s="31">
        <f t="shared" si="37"/>
        <v>8497</v>
      </c>
    </row>
    <row r="143" spans="1:9" x14ac:dyDescent="0.2">
      <c r="A143" s="39" t="s">
        <v>285</v>
      </c>
      <c r="B143" s="40">
        <v>598</v>
      </c>
      <c r="C143" s="40" t="s">
        <v>283</v>
      </c>
      <c r="D143" s="40" t="s">
        <v>284</v>
      </c>
      <c r="E143" s="40" t="s">
        <v>189</v>
      </c>
      <c r="F143" s="40"/>
      <c r="G143" s="41">
        <f>G144</f>
        <v>12894.001</v>
      </c>
      <c r="H143" s="41">
        <f t="shared" si="37"/>
        <v>8497</v>
      </c>
      <c r="I143" s="41">
        <f t="shared" si="37"/>
        <v>8497</v>
      </c>
    </row>
    <row r="144" spans="1:9" x14ac:dyDescent="0.2">
      <c r="A144" s="29" t="s">
        <v>180</v>
      </c>
      <c r="B144" s="30">
        <v>598</v>
      </c>
      <c r="C144" s="30" t="s">
        <v>283</v>
      </c>
      <c r="D144" s="30" t="s">
        <v>284</v>
      </c>
      <c r="E144" s="30" t="s">
        <v>190</v>
      </c>
      <c r="F144" s="30"/>
      <c r="G144" s="31">
        <f>G145+G148</f>
        <v>12894.001</v>
      </c>
      <c r="H144" s="31">
        <f>H145+H148</f>
        <v>8497</v>
      </c>
      <c r="I144" s="31">
        <f>I145+I148</f>
        <v>8497</v>
      </c>
    </row>
    <row r="145" spans="1:9" ht="24" x14ac:dyDescent="0.2">
      <c r="A145" s="29" t="s">
        <v>286</v>
      </c>
      <c r="B145" s="30">
        <v>598</v>
      </c>
      <c r="C145" s="30" t="s">
        <v>283</v>
      </c>
      <c r="D145" s="30" t="s">
        <v>284</v>
      </c>
      <c r="E145" s="30" t="s">
        <v>287</v>
      </c>
      <c r="F145" s="30"/>
      <c r="G145" s="31">
        <f>G146</f>
        <v>3000</v>
      </c>
      <c r="H145" s="31">
        <f t="shared" ref="H145:I146" si="38">H146</f>
        <v>1000</v>
      </c>
      <c r="I145" s="31">
        <f t="shared" si="38"/>
        <v>1000</v>
      </c>
    </row>
    <row r="146" spans="1:9" x14ac:dyDescent="0.2">
      <c r="A146" s="35" t="s">
        <v>195</v>
      </c>
      <c r="B146" s="36" t="s">
        <v>176</v>
      </c>
      <c r="C146" s="36" t="s">
        <v>283</v>
      </c>
      <c r="D146" s="36" t="s">
        <v>284</v>
      </c>
      <c r="E146" s="36" t="s">
        <v>287</v>
      </c>
      <c r="F146" s="36" t="s">
        <v>196</v>
      </c>
      <c r="G146" s="37">
        <f>G147</f>
        <v>3000</v>
      </c>
      <c r="H146" s="37">
        <f t="shared" si="38"/>
        <v>1000</v>
      </c>
      <c r="I146" s="37">
        <f t="shared" si="38"/>
        <v>1000</v>
      </c>
    </row>
    <row r="147" spans="1:9" x14ac:dyDescent="0.2">
      <c r="A147" s="35" t="s">
        <v>197</v>
      </c>
      <c r="B147" s="36" t="s">
        <v>176</v>
      </c>
      <c r="C147" s="36" t="s">
        <v>283</v>
      </c>
      <c r="D147" s="36" t="s">
        <v>284</v>
      </c>
      <c r="E147" s="36" t="s">
        <v>287</v>
      </c>
      <c r="F147" s="36" t="s">
        <v>198</v>
      </c>
      <c r="G147" s="37">
        <f>3000</f>
        <v>3000</v>
      </c>
      <c r="H147" s="37">
        <v>1000</v>
      </c>
      <c r="I147" s="37">
        <v>1000</v>
      </c>
    </row>
    <row r="148" spans="1:9" x14ac:dyDescent="0.2">
      <c r="A148" s="52" t="s">
        <v>263</v>
      </c>
      <c r="B148" s="49" t="s">
        <v>176</v>
      </c>
      <c r="C148" s="49" t="s">
        <v>283</v>
      </c>
      <c r="D148" s="49" t="s">
        <v>284</v>
      </c>
      <c r="E148" s="49" t="s">
        <v>190</v>
      </c>
      <c r="F148" s="49"/>
      <c r="G148" s="53">
        <f>G149</f>
        <v>9894.0010000000002</v>
      </c>
      <c r="H148" s="53">
        <f t="shared" ref="H148:I148" si="39">H149</f>
        <v>7497</v>
      </c>
      <c r="I148" s="53">
        <f t="shared" si="39"/>
        <v>7497</v>
      </c>
    </row>
    <row r="149" spans="1:9" x14ac:dyDescent="0.2">
      <c r="A149" s="29" t="s">
        <v>288</v>
      </c>
      <c r="B149" s="30" t="s">
        <v>176</v>
      </c>
      <c r="C149" s="30" t="s">
        <v>283</v>
      </c>
      <c r="D149" s="30" t="s">
        <v>284</v>
      </c>
      <c r="E149" s="30" t="s">
        <v>289</v>
      </c>
      <c r="F149" s="30"/>
      <c r="G149" s="31">
        <f>G150+G152+G154</f>
        <v>9894.0010000000002</v>
      </c>
      <c r="H149" s="31">
        <f>H150+H152+H154</f>
        <v>7497</v>
      </c>
      <c r="I149" s="31">
        <f>I150+I152+I154</f>
        <v>7497</v>
      </c>
    </row>
    <row r="150" spans="1:9" ht="24" x14ac:dyDescent="0.2">
      <c r="A150" s="35" t="s">
        <v>185</v>
      </c>
      <c r="B150" s="36" t="s">
        <v>176</v>
      </c>
      <c r="C150" s="36" t="s">
        <v>283</v>
      </c>
      <c r="D150" s="36" t="s">
        <v>284</v>
      </c>
      <c r="E150" s="36" t="s">
        <v>289</v>
      </c>
      <c r="F150" s="36" t="s">
        <v>186</v>
      </c>
      <c r="G150" s="37">
        <f>G151</f>
        <v>6639.0010000000002</v>
      </c>
      <c r="H150" s="37">
        <f t="shared" ref="H150:I150" si="40">H151</f>
        <v>4242</v>
      </c>
      <c r="I150" s="37">
        <f t="shared" si="40"/>
        <v>4242</v>
      </c>
    </row>
    <row r="151" spans="1:9" x14ac:dyDescent="0.2">
      <c r="A151" s="35" t="s">
        <v>266</v>
      </c>
      <c r="B151" s="36" t="s">
        <v>176</v>
      </c>
      <c r="C151" s="36" t="s">
        <v>283</v>
      </c>
      <c r="D151" s="36" t="s">
        <v>284</v>
      </c>
      <c r="E151" s="36" t="s">
        <v>289</v>
      </c>
      <c r="F151" s="36" t="s">
        <v>267</v>
      </c>
      <c r="G151" s="37">
        <f>3196.6+20+971.4+7+47+474.152+1922.849</f>
        <v>6639.0010000000002</v>
      </c>
      <c r="H151" s="37">
        <f t="shared" ref="H151:I151" si="41">3196.6+20+971.4+7+47</f>
        <v>4242</v>
      </c>
      <c r="I151" s="37">
        <f t="shared" si="41"/>
        <v>4242</v>
      </c>
    </row>
    <row r="152" spans="1:9" x14ac:dyDescent="0.2">
      <c r="A152" s="35" t="s">
        <v>195</v>
      </c>
      <c r="B152" s="36" t="s">
        <v>176</v>
      </c>
      <c r="C152" s="36" t="s">
        <v>283</v>
      </c>
      <c r="D152" s="36" t="s">
        <v>284</v>
      </c>
      <c r="E152" s="36" t="s">
        <v>289</v>
      </c>
      <c r="F152" s="36" t="s">
        <v>196</v>
      </c>
      <c r="G152" s="37">
        <f>G153</f>
        <v>3245</v>
      </c>
      <c r="H152" s="37">
        <f t="shared" ref="H152:I152" si="42">H153</f>
        <v>3245</v>
      </c>
      <c r="I152" s="37">
        <f t="shared" si="42"/>
        <v>3245</v>
      </c>
    </row>
    <row r="153" spans="1:9" x14ac:dyDescent="0.2">
      <c r="A153" s="35" t="s">
        <v>197</v>
      </c>
      <c r="B153" s="36" t="s">
        <v>176</v>
      </c>
      <c r="C153" s="36" t="s">
        <v>283</v>
      </c>
      <c r="D153" s="36" t="s">
        <v>284</v>
      </c>
      <c r="E153" s="36" t="s">
        <v>289</v>
      </c>
      <c r="F153" s="36" t="s">
        <v>198</v>
      </c>
      <c r="G153" s="37">
        <f>225+720+70+160+70+2000</f>
        <v>3245</v>
      </c>
      <c r="H153" s="37">
        <f t="shared" ref="H153:I153" si="43">225+720+70+160+70+2000</f>
        <v>3245</v>
      </c>
      <c r="I153" s="37">
        <f t="shared" si="43"/>
        <v>3245</v>
      </c>
    </row>
    <row r="154" spans="1:9" x14ac:dyDescent="0.2">
      <c r="A154" s="35" t="s">
        <v>199</v>
      </c>
      <c r="B154" s="36" t="s">
        <v>176</v>
      </c>
      <c r="C154" s="36" t="s">
        <v>283</v>
      </c>
      <c r="D154" s="36" t="s">
        <v>284</v>
      </c>
      <c r="E154" s="36" t="s">
        <v>289</v>
      </c>
      <c r="F154" s="36" t="s">
        <v>200</v>
      </c>
      <c r="G154" s="37">
        <f>G155</f>
        <v>10</v>
      </c>
      <c r="H154" s="37">
        <f t="shared" ref="H154:I154" si="44">H155</f>
        <v>10</v>
      </c>
      <c r="I154" s="37">
        <f t="shared" si="44"/>
        <v>10</v>
      </c>
    </row>
    <row r="155" spans="1:9" x14ac:dyDescent="0.2">
      <c r="A155" s="35" t="s">
        <v>201</v>
      </c>
      <c r="B155" s="36" t="s">
        <v>176</v>
      </c>
      <c r="C155" s="36" t="s">
        <v>283</v>
      </c>
      <c r="D155" s="36" t="s">
        <v>284</v>
      </c>
      <c r="E155" s="36" t="s">
        <v>289</v>
      </c>
      <c r="F155" s="36" t="s">
        <v>202</v>
      </c>
      <c r="G155" s="37">
        <v>10</v>
      </c>
      <c r="H155" s="37">
        <v>10</v>
      </c>
      <c r="I155" s="37">
        <v>10</v>
      </c>
    </row>
    <row r="156" spans="1:9" x14ac:dyDescent="0.2">
      <c r="A156" s="29" t="s">
        <v>290</v>
      </c>
      <c r="B156" s="30" t="s">
        <v>176</v>
      </c>
      <c r="C156" s="30" t="s">
        <v>177</v>
      </c>
      <c r="D156" s="30" t="s">
        <v>174</v>
      </c>
      <c r="E156" s="30"/>
      <c r="F156" s="30"/>
      <c r="G156" s="31">
        <f>G157</f>
        <v>39423.368999999999</v>
      </c>
      <c r="H156" s="31">
        <f t="shared" ref="H156:I156" si="45">H157</f>
        <v>16000</v>
      </c>
      <c r="I156" s="31">
        <f t="shared" si="45"/>
        <v>16000</v>
      </c>
    </row>
    <row r="157" spans="1:9" x14ac:dyDescent="0.2">
      <c r="A157" s="29" t="s">
        <v>291</v>
      </c>
      <c r="B157" s="30" t="s">
        <v>176</v>
      </c>
      <c r="C157" s="30" t="s">
        <v>177</v>
      </c>
      <c r="D157" s="30" t="s">
        <v>292</v>
      </c>
      <c r="E157" s="44"/>
      <c r="F157" s="36"/>
      <c r="G157" s="31">
        <f>G158+G177</f>
        <v>39423.368999999999</v>
      </c>
      <c r="H157" s="31">
        <f>H158+H177</f>
        <v>16000</v>
      </c>
      <c r="I157" s="31">
        <f>I158+I177</f>
        <v>16000</v>
      </c>
    </row>
    <row r="158" spans="1:9" ht="24" x14ac:dyDescent="0.2">
      <c r="A158" s="42" t="s">
        <v>293</v>
      </c>
      <c r="B158" s="40" t="s">
        <v>176</v>
      </c>
      <c r="C158" s="40" t="s">
        <v>177</v>
      </c>
      <c r="D158" s="40" t="s">
        <v>292</v>
      </c>
      <c r="E158" s="40" t="s">
        <v>294</v>
      </c>
      <c r="F158" s="40"/>
      <c r="G158" s="47">
        <f>G159+G162+G165+G168+G171+G174</f>
        <v>3000</v>
      </c>
      <c r="H158" s="47">
        <f>H159+H162+H165+H168+H171+H174</f>
        <v>5000</v>
      </c>
      <c r="I158" s="47">
        <f>I159+I162+I165+I168+I171+I174</f>
        <v>5000</v>
      </c>
    </row>
    <row r="159" spans="1:9" ht="24" x14ac:dyDescent="0.2">
      <c r="A159" s="50" t="s">
        <v>295</v>
      </c>
      <c r="B159" s="30" t="s">
        <v>176</v>
      </c>
      <c r="C159" s="30" t="s">
        <v>177</v>
      </c>
      <c r="D159" s="30" t="s">
        <v>292</v>
      </c>
      <c r="E159" s="30" t="s">
        <v>296</v>
      </c>
      <c r="F159" s="30"/>
      <c r="G159" s="45">
        <f>G160</f>
        <v>500</v>
      </c>
      <c r="H159" s="45">
        <f t="shared" ref="H159:I160" si="46">H160</f>
        <v>700</v>
      </c>
      <c r="I159" s="45">
        <f t="shared" si="46"/>
        <v>700</v>
      </c>
    </row>
    <row r="160" spans="1:9" x14ac:dyDescent="0.2">
      <c r="A160" s="68" t="s">
        <v>199</v>
      </c>
      <c r="B160" s="36" t="s">
        <v>176</v>
      </c>
      <c r="C160" s="36" t="s">
        <v>177</v>
      </c>
      <c r="D160" s="36" t="s">
        <v>292</v>
      </c>
      <c r="E160" s="36" t="s">
        <v>296</v>
      </c>
      <c r="F160" s="36" t="s">
        <v>200</v>
      </c>
      <c r="G160" s="46">
        <f>G161</f>
        <v>500</v>
      </c>
      <c r="H160" s="46">
        <f t="shared" si="46"/>
        <v>700</v>
      </c>
      <c r="I160" s="46">
        <f t="shared" si="46"/>
        <v>700</v>
      </c>
    </row>
    <row r="161" spans="1:9" ht="24" x14ac:dyDescent="0.2">
      <c r="A161" s="68" t="s">
        <v>297</v>
      </c>
      <c r="B161" s="36" t="s">
        <v>176</v>
      </c>
      <c r="C161" s="36" t="s">
        <v>177</v>
      </c>
      <c r="D161" s="36" t="s">
        <v>292</v>
      </c>
      <c r="E161" s="36" t="s">
        <v>296</v>
      </c>
      <c r="F161" s="36" t="s">
        <v>298</v>
      </c>
      <c r="G161" s="46">
        <v>500</v>
      </c>
      <c r="H161" s="37">
        <v>700</v>
      </c>
      <c r="I161" s="37">
        <v>700</v>
      </c>
    </row>
    <row r="162" spans="1:9" ht="27.75" customHeight="1" x14ac:dyDescent="0.2">
      <c r="A162" s="50" t="s">
        <v>299</v>
      </c>
      <c r="B162" s="30" t="s">
        <v>176</v>
      </c>
      <c r="C162" s="30" t="s">
        <v>177</v>
      </c>
      <c r="D162" s="30" t="s">
        <v>292</v>
      </c>
      <c r="E162" s="30" t="s">
        <v>300</v>
      </c>
      <c r="F162" s="30"/>
      <c r="G162" s="45">
        <f>G163</f>
        <v>0</v>
      </c>
      <c r="H162" s="45">
        <f t="shared" ref="H162:I163" si="47">H163</f>
        <v>500</v>
      </c>
      <c r="I162" s="45">
        <f t="shared" si="47"/>
        <v>500</v>
      </c>
    </row>
    <row r="163" spans="1:9" x14ac:dyDescent="0.2">
      <c r="A163" s="68" t="s">
        <v>195</v>
      </c>
      <c r="B163" s="36" t="s">
        <v>176</v>
      </c>
      <c r="C163" s="36" t="s">
        <v>177</v>
      </c>
      <c r="D163" s="36" t="s">
        <v>292</v>
      </c>
      <c r="E163" s="36" t="s">
        <v>300</v>
      </c>
      <c r="F163" s="36" t="s">
        <v>196</v>
      </c>
      <c r="G163" s="46">
        <f>G164</f>
        <v>0</v>
      </c>
      <c r="H163" s="46">
        <f t="shared" si="47"/>
        <v>500</v>
      </c>
      <c r="I163" s="46">
        <f t="shared" si="47"/>
        <v>500</v>
      </c>
    </row>
    <row r="164" spans="1:9" x14ac:dyDescent="0.2">
      <c r="A164" s="68" t="s">
        <v>197</v>
      </c>
      <c r="B164" s="36" t="s">
        <v>176</v>
      </c>
      <c r="C164" s="36" t="s">
        <v>177</v>
      </c>
      <c r="D164" s="36" t="s">
        <v>292</v>
      </c>
      <c r="E164" s="36" t="s">
        <v>300</v>
      </c>
      <c r="F164" s="36" t="s">
        <v>198</v>
      </c>
      <c r="G164" s="46">
        <v>0</v>
      </c>
      <c r="H164" s="46">
        <f>500</f>
        <v>500</v>
      </c>
      <c r="I164" s="46">
        <f>500</f>
        <v>500</v>
      </c>
    </row>
    <row r="165" spans="1:9" x14ac:dyDescent="0.2">
      <c r="A165" s="50" t="s">
        <v>301</v>
      </c>
      <c r="B165" s="30" t="s">
        <v>176</v>
      </c>
      <c r="C165" s="30" t="s">
        <v>177</v>
      </c>
      <c r="D165" s="30" t="s">
        <v>292</v>
      </c>
      <c r="E165" s="30" t="s">
        <v>302</v>
      </c>
      <c r="F165" s="30"/>
      <c r="G165" s="45">
        <f>G166</f>
        <v>1300</v>
      </c>
      <c r="H165" s="45">
        <f t="shared" ref="H165:I166" si="48">H166</f>
        <v>0</v>
      </c>
      <c r="I165" s="45">
        <f t="shared" si="48"/>
        <v>0</v>
      </c>
    </row>
    <row r="166" spans="1:9" x14ac:dyDescent="0.2">
      <c r="A166" s="68" t="s">
        <v>195</v>
      </c>
      <c r="B166" s="36" t="s">
        <v>176</v>
      </c>
      <c r="C166" s="36" t="s">
        <v>177</v>
      </c>
      <c r="D166" s="36" t="s">
        <v>292</v>
      </c>
      <c r="E166" s="36" t="s">
        <v>302</v>
      </c>
      <c r="F166" s="36" t="s">
        <v>196</v>
      </c>
      <c r="G166" s="46">
        <f>G167</f>
        <v>1300</v>
      </c>
      <c r="H166" s="46">
        <f t="shared" si="48"/>
        <v>0</v>
      </c>
      <c r="I166" s="46">
        <f t="shared" si="48"/>
        <v>0</v>
      </c>
    </row>
    <row r="167" spans="1:9" x14ac:dyDescent="0.2">
      <c r="A167" s="68" t="s">
        <v>197</v>
      </c>
      <c r="B167" s="36" t="s">
        <v>176</v>
      </c>
      <c r="C167" s="36" t="s">
        <v>177</v>
      </c>
      <c r="D167" s="36" t="s">
        <v>292</v>
      </c>
      <c r="E167" s="36" t="s">
        <v>302</v>
      </c>
      <c r="F167" s="36" t="s">
        <v>198</v>
      </c>
      <c r="G167" s="46">
        <v>1300</v>
      </c>
      <c r="H167" s="46">
        <v>0</v>
      </c>
      <c r="I167" s="46">
        <v>0</v>
      </c>
    </row>
    <row r="168" spans="1:9" s="192" customFormat="1" ht="72" x14ac:dyDescent="0.2">
      <c r="A168" s="50" t="s">
        <v>303</v>
      </c>
      <c r="B168" s="30" t="s">
        <v>176</v>
      </c>
      <c r="C168" s="30" t="s">
        <v>177</v>
      </c>
      <c r="D168" s="30" t="s">
        <v>292</v>
      </c>
      <c r="E168" s="30" t="s">
        <v>304</v>
      </c>
      <c r="F168" s="30"/>
      <c r="G168" s="45">
        <f>G169</f>
        <v>1000</v>
      </c>
      <c r="H168" s="45">
        <f t="shared" ref="H168:I169" si="49">H169</f>
        <v>1500</v>
      </c>
      <c r="I168" s="45">
        <f t="shared" si="49"/>
        <v>1500</v>
      </c>
    </row>
    <row r="169" spans="1:9" s="192" customFormat="1" x14ac:dyDescent="0.2">
      <c r="A169" s="68" t="s">
        <v>195</v>
      </c>
      <c r="B169" s="36" t="s">
        <v>176</v>
      </c>
      <c r="C169" s="36" t="s">
        <v>177</v>
      </c>
      <c r="D169" s="36" t="s">
        <v>292</v>
      </c>
      <c r="E169" s="36" t="s">
        <v>304</v>
      </c>
      <c r="F169" s="36" t="s">
        <v>196</v>
      </c>
      <c r="G169" s="46">
        <f>G170</f>
        <v>1000</v>
      </c>
      <c r="H169" s="46">
        <f t="shared" si="49"/>
        <v>1500</v>
      </c>
      <c r="I169" s="46">
        <f t="shared" si="49"/>
        <v>1500</v>
      </c>
    </row>
    <row r="170" spans="1:9" s="192" customFormat="1" x14ac:dyDescent="0.2">
      <c r="A170" s="68" t="s">
        <v>197</v>
      </c>
      <c r="B170" s="36" t="s">
        <v>176</v>
      </c>
      <c r="C170" s="36" t="s">
        <v>177</v>
      </c>
      <c r="D170" s="36" t="s">
        <v>292</v>
      </c>
      <c r="E170" s="36" t="s">
        <v>304</v>
      </c>
      <c r="F170" s="36" t="s">
        <v>198</v>
      </c>
      <c r="G170" s="46">
        <v>1000</v>
      </c>
      <c r="H170" s="37">
        <v>1500</v>
      </c>
      <c r="I170" s="37">
        <v>1500</v>
      </c>
    </row>
    <row r="171" spans="1:9" ht="36" x14ac:dyDescent="0.2">
      <c r="A171" s="50" t="s">
        <v>305</v>
      </c>
      <c r="B171" s="30" t="s">
        <v>176</v>
      </c>
      <c r="C171" s="30" t="s">
        <v>177</v>
      </c>
      <c r="D171" s="30" t="s">
        <v>292</v>
      </c>
      <c r="E171" s="30" t="s">
        <v>306</v>
      </c>
      <c r="F171" s="30"/>
      <c r="G171" s="45">
        <f>G172</f>
        <v>200</v>
      </c>
      <c r="H171" s="45">
        <f t="shared" ref="H171:I172" si="50">H172</f>
        <v>300</v>
      </c>
      <c r="I171" s="45">
        <f t="shared" si="50"/>
        <v>300</v>
      </c>
    </row>
    <row r="172" spans="1:9" x14ac:dyDescent="0.2">
      <c r="A172" s="68" t="s">
        <v>195</v>
      </c>
      <c r="B172" s="36" t="s">
        <v>176</v>
      </c>
      <c r="C172" s="36" t="s">
        <v>177</v>
      </c>
      <c r="D172" s="36" t="s">
        <v>292</v>
      </c>
      <c r="E172" s="36" t="s">
        <v>306</v>
      </c>
      <c r="F172" s="36" t="s">
        <v>196</v>
      </c>
      <c r="G172" s="46">
        <f>G173</f>
        <v>200</v>
      </c>
      <c r="H172" s="46">
        <f t="shared" si="50"/>
        <v>300</v>
      </c>
      <c r="I172" s="46">
        <f t="shared" si="50"/>
        <v>300</v>
      </c>
    </row>
    <row r="173" spans="1:9" x14ac:dyDescent="0.2">
      <c r="A173" s="68" t="s">
        <v>197</v>
      </c>
      <c r="B173" s="36" t="s">
        <v>176</v>
      </c>
      <c r="C173" s="36" t="s">
        <v>177</v>
      </c>
      <c r="D173" s="36" t="s">
        <v>292</v>
      </c>
      <c r="E173" s="36" t="s">
        <v>306</v>
      </c>
      <c r="F173" s="36" t="s">
        <v>198</v>
      </c>
      <c r="G173" s="46">
        <f>200</f>
        <v>200</v>
      </c>
      <c r="H173" s="46">
        <f>300</f>
        <v>300</v>
      </c>
      <c r="I173" s="46">
        <f>300</f>
        <v>300</v>
      </c>
    </row>
    <row r="174" spans="1:9" x14ac:dyDescent="0.2">
      <c r="A174" s="50" t="s">
        <v>307</v>
      </c>
      <c r="B174" s="30" t="s">
        <v>176</v>
      </c>
      <c r="C174" s="30" t="s">
        <v>177</v>
      </c>
      <c r="D174" s="30" t="s">
        <v>292</v>
      </c>
      <c r="E174" s="30" t="s">
        <v>308</v>
      </c>
      <c r="F174" s="30"/>
      <c r="G174" s="45">
        <f>G175</f>
        <v>0</v>
      </c>
      <c r="H174" s="45">
        <f t="shared" ref="H174:I175" si="51">H175</f>
        <v>2000</v>
      </c>
      <c r="I174" s="45">
        <f t="shared" si="51"/>
        <v>2000</v>
      </c>
    </row>
    <row r="175" spans="1:9" x14ac:dyDescent="0.2">
      <c r="A175" s="68" t="s">
        <v>199</v>
      </c>
      <c r="B175" s="36" t="s">
        <v>176</v>
      </c>
      <c r="C175" s="36" t="s">
        <v>177</v>
      </c>
      <c r="D175" s="36" t="s">
        <v>292</v>
      </c>
      <c r="E175" s="36" t="s">
        <v>308</v>
      </c>
      <c r="F175" s="36" t="s">
        <v>200</v>
      </c>
      <c r="G175" s="46">
        <f>G176</f>
        <v>0</v>
      </c>
      <c r="H175" s="46">
        <f t="shared" si="51"/>
        <v>2000</v>
      </c>
      <c r="I175" s="46">
        <f t="shared" si="51"/>
        <v>2000</v>
      </c>
    </row>
    <row r="176" spans="1:9" ht="24" x14ac:dyDescent="0.2">
      <c r="A176" s="68" t="s">
        <v>297</v>
      </c>
      <c r="B176" s="36" t="s">
        <v>176</v>
      </c>
      <c r="C176" s="36" t="s">
        <v>177</v>
      </c>
      <c r="D176" s="36" t="s">
        <v>292</v>
      </c>
      <c r="E176" s="36" t="s">
        <v>308</v>
      </c>
      <c r="F176" s="36" t="s">
        <v>298</v>
      </c>
      <c r="G176" s="46">
        <f>5000-5000</f>
        <v>0</v>
      </c>
      <c r="H176" s="46">
        <f>2000</f>
        <v>2000</v>
      </c>
      <c r="I176" s="46">
        <f>2000</f>
        <v>2000</v>
      </c>
    </row>
    <row r="177" spans="1:9" x14ac:dyDescent="0.2">
      <c r="A177" s="39" t="s">
        <v>178</v>
      </c>
      <c r="B177" s="40" t="s">
        <v>176</v>
      </c>
      <c r="C177" s="40" t="s">
        <v>177</v>
      </c>
      <c r="D177" s="40" t="s">
        <v>292</v>
      </c>
      <c r="E177" s="40" t="s">
        <v>189</v>
      </c>
      <c r="F177" s="40"/>
      <c r="G177" s="41">
        <f>G178</f>
        <v>36423.368999999999</v>
      </c>
      <c r="H177" s="41">
        <f t="shared" ref="H177:I177" si="52">H178</f>
        <v>11000</v>
      </c>
      <c r="I177" s="41">
        <f t="shared" si="52"/>
        <v>11000</v>
      </c>
    </row>
    <row r="178" spans="1:9" x14ac:dyDescent="0.2">
      <c r="A178" s="29" t="s">
        <v>180</v>
      </c>
      <c r="B178" s="55">
        <v>598</v>
      </c>
      <c r="C178" s="30" t="s">
        <v>177</v>
      </c>
      <c r="D178" s="30" t="s">
        <v>292</v>
      </c>
      <c r="E178" s="30" t="s">
        <v>190</v>
      </c>
      <c r="F178" s="30"/>
      <c r="G178" s="31">
        <f>G179+G182+G185+G194+G188+G191</f>
        <v>36423.368999999999</v>
      </c>
      <c r="H178" s="31">
        <f>H179+H182+H185+H194+H188+H191</f>
        <v>11000</v>
      </c>
      <c r="I178" s="31">
        <f>I179+I182+I185+I194+I188+I191</f>
        <v>11000</v>
      </c>
    </row>
    <row r="179" spans="1:9" x14ac:dyDescent="0.2">
      <c r="A179" s="29" t="s">
        <v>309</v>
      </c>
      <c r="B179" s="55">
        <v>598</v>
      </c>
      <c r="C179" s="30" t="s">
        <v>177</v>
      </c>
      <c r="D179" s="30" t="s">
        <v>292</v>
      </c>
      <c r="E179" s="30" t="s">
        <v>310</v>
      </c>
      <c r="F179" s="30"/>
      <c r="G179" s="31">
        <f>G180</f>
        <v>6000</v>
      </c>
      <c r="H179" s="31">
        <f t="shared" ref="H179:I180" si="53">H180</f>
        <v>5000</v>
      </c>
      <c r="I179" s="31">
        <f t="shared" si="53"/>
        <v>5000</v>
      </c>
    </row>
    <row r="180" spans="1:9" x14ac:dyDescent="0.2">
      <c r="A180" s="68" t="s">
        <v>195</v>
      </c>
      <c r="B180" s="36" t="s">
        <v>176</v>
      </c>
      <c r="C180" s="36" t="s">
        <v>177</v>
      </c>
      <c r="D180" s="36" t="s">
        <v>292</v>
      </c>
      <c r="E180" s="36" t="s">
        <v>310</v>
      </c>
      <c r="F180" s="36" t="s">
        <v>196</v>
      </c>
      <c r="G180" s="37">
        <f>G181</f>
        <v>6000</v>
      </c>
      <c r="H180" s="37">
        <f t="shared" si="53"/>
        <v>5000</v>
      </c>
      <c r="I180" s="37">
        <f t="shared" si="53"/>
        <v>5000</v>
      </c>
    </row>
    <row r="181" spans="1:9" x14ac:dyDescent="0.2">
      <c r="A181" s="68" t="s">
        <v>197</v>
      </c>
      <c r="B181" s="48">
        <v>598</v>
      </c>
      <c r="C181" s="36" t="s">
        <v>177</v>
      </c>
      <c r="D181" s="36" t="s">
        <v>292</v>
      </c>
      <c r="E181" s="36" t="s">
        <v>310</v>
      </c>
      <c r="F181" s="36" t="s">
        <v>198</v>
      </c>
      <c r="G181" s="37">
        <f>5000+1000</f>
        <v>6000</v>
      </c>
      <c r="H181" s="37">
        <v>5000</v>
      </c>
      <c r="I181" s="37">
        <v>5000</v>
      </c>
    </row>
    <row r="182" spans="1:9" x14ac:dyDescent="0.2">
      <c r="A182" s="29" t="s">
        <v>311</v>
      </c>
      <c r="B182" s="55">
        <v>598</v>
      </c>
      <c r="C182" s="30" t="s">
        <v>177</v>
      </c>
      <c r="D182" s="30" t="s">
        <v>292</v>
      </c>
      <c r="E182" s="30" t="s">
        <v>312</v>
      </c>
      <c r="F182" s="30"/>
      <c r="G182" s="31">
        <f>G183</f>
        <v>1000</v>
      </c>
      <c r="H182" s="31">
        <f t="shared" ref="H182:I183" si="54">H183</f>
        <v>1000</v>
      </c>
      <c r="I182" s="31">
        <f t="shared" si="54"/>
        <v>1000</v>
      </c>
    </row>
    <row r="183" spans="1:9" x14ac:dyDescent="0.2">
      <c r="A183" s="68" t="s">
        <v>195</v>
      </c>
      <c r="B183" s="36" t="s">
        <v>176</v>
      </c>
      <c r="C183" s="36" t="s">
        <v>177</v>
      </c>
      <c r="D183" s="36" t="s">
        <v>292</v>
      </c>
      <c r="E183" s="36" t="s">
        <v>312</v>
      </c>
      <c r="F183" s="36" t="s">
        <v>196</v>
      </c>
      <c r="G183" s="37">
        <f>G184</f>
        <v>1000</v>
      </c>
      <c r="H183" s="37">
        <f t="shared" si="54"/>
        <v>1000</v>
      </c>
      <c r="I183" s="37">
        <f t="shared" si="54"/>
        <v>1000</v>
      </c>
    </row>
    <row r="184" spans="1:9" x14ac:dyDescent="0.2">
      <c r="A184" s="68" t="s">
        <v>197</v>
      </c>
      <c r="B184" s="48">
        <v>598</v>
      </c>
      <c r="C184" s="36" t="s">
        <v>177</v>
      </c>
      <c r="D184" s="36" t="s">
        <v>292</v>
      </c>
      <c r="E184" s="36" t="s">
        <v>312</v>
      </c>
      <c r="F184" s="36" t="s">
        <v>198</v>
      </c>
      <c r="G184" s="37">
        <v>1000</v>
      </c>
      <c r="H184" s="37">
        <v>1000</v>
      </c>
      <c r="I184" s="37">
        <v>1000</v>
      </c>
    </row>
    <row r="185" spans="1:9" x14ac:dyDescent="0.2">
      <c r="A185" s="50" t="s">
        <v>313</v>
      </c>
      <c r="B185" s="55">
        <v>598</v>
      </c>
      <c r="C185" s="30" t="s">
        <v>177</v>
      </c>
      <c r="D185" s="30" t="s">
        <v>292</v>
      </c>
      <c r="E185" s="30" t="s">
        <v>314</v>
      </c>
      <c r="F185" s="30"/>
      <c r="G185" s="31">
        <f>G186</f>
        <v>5000</v>
      </c>
      <c r="H185" s="45">
        <f t="shared" ref="H185:I186" si="55">H186</f>
        <v>0</v>
      </c>
      <c r="I185" s="45">
        <f t="shared" si="55"/>
        <v>0</v>
      </c>
    </row>
    <row r="186" spans="1:9" x14ac:dyDescent="0.2">
      <c r="A186" s="68" t="s">
        <v>195</v>
      </c>
      <c r="B186" s="36" t="s">
        <v>176</v>
      </c>
      <c r="C186" s="36" t="s">
        <v>177</v>
      </c>
      <c r="D186" s="36" t="s">
        <v>292</v>
      </c>
      <c r="E186" s="36" t="s">
        <v>314</v>
      </c>
      <c r="F186" s="36" t="s">
        <v>196</v>
      </c>
      <c r="G186" s="37">
        <f>G187</f>
        <v>5000</v>
      </c>
      <c r="H186" s="46">
        <f t="shared" si="55"/>
        <v>0</v>
      </c>
      <c r="I186" s="46">
        <f t="shared" si="55"/>
        <v>0</v>
      </c>
    </row>
    <row r="187" spans="1:9" x14ac:dyDescent="0.2">
      <c r="A187" s="68" t="s">
        <v>197</v>
      </c>
      <c r="B187" s="48">
        <v>598</v>
      </c>
      <c r="C187" s="36" t="s">
        <v>177</v>
      </c>
      <c r="D187" s="36" t="s">
        <v>292</v>
      </c>
      <c r="E187" s="36" t="s">
        <v>314</v>
      </c>
      <c r="F187" s="36" t="s">
        <v>198</v>
      </c>
      <c r="G187" s="37">
        <v>5000</v>
      </c>
      <c r="H187" s="46">
        <v>0</v>
      </c>
      <c r="I187" s="46">
        <v>0</v>
      </c>
    </row>
    <row r="188" spans="1:9" x14ac:dyDescent="0.2">
      <c r="A188" s="39" t="s">
        <v>315</v>
      </c>
      <c r="B188" s="56">
        <v>598</v>
      </c>
      <c r="C188" s="40" t="s">
        <v>177</v>
      </c>
      <c r="D188" s="40" t="s">
        <v>292</v>
      </c>
      <c r="E188" s="40" t="s">
        <v>316</v>
      </c>
      <c r="F188" s="40"/>
      <c r="G188" s="41">
        <f t="shared" ref="G188:I189" si="56">G189</f>
        <v>1000</v>
      </c>
      <c r="H188" s="47">
        <f t="shared" si="56"/>
        <v>0</v>
      </c>
      <c r="I188" s="47">
        <f t="shared" si="56"/>
        <v>0</v>
      </c>
    </row>
    <row r="189" spans="1:9" x14ac:dyDescent="0.2">
      <c r="A189" s="35" t="s">
        <v>195</v>
      </c>
      <c r="B189" s="36" t="s">
        <v>176</v>
      </c>
      <c r="C189" s="36" t="s">
        <v>177</v>
      </c>
      <c r="D189" s="36" t="s">
        <v>292</v>
      </c>
      <c r="E189" s="36" t="s">
        <v>316</v>
      </c>
      <c r="F189" s="48">
        <v>200</v>
      </c>
      <c r="G189" s="37">
        <f t="shared" si="56"/>
        <v>1000</v>
      </c>
      <c r="H189" s="46">
        <f t="shared" si="56"/>
        <v>0</v>
      </c>
      <c r="I189" s="46">
        <f t="shared" si="56"/>
        <v>0</v>
      </c>
    </row>
    <row r="190" spans="1:9" x14ac:dyDescent="0.2">
      <c r="A190" s="35" t="s">
        <v>197</v>
      </c>
      <c r="B190" s="48">
        <v>598</v>
      </c>
      <c r="C190" s="36" t="s">
        <v>177</v>
      </c>
      <c r="D190" s="36" t="s">
        <v>292</v>
      </c>
      <c r="E190" s="36" t="s">
        <v>316</v>
      </c>
      <c r="F190" s="36" t="s">
        <v>198</v>
      </c>
      <c r="G190" s="37">
        <f>200+800</f>
        <v>1000</v>
      </c>
      <c r="H190" s="46">
        <v>0</v>
      </c>
      <c r="I190" s="46">
        <v>0</v>
      </c>
    </row>
    <row r="191" spans="1:9" x14ac:dyDescent="0.2">
      <c r="A191" s="39" t="s">
        <v>317</v>
      </c>
      <c r="B191" s="56">
        <v>598</v>
      </c>
      <c r="C191" s="40" t="s">
        <v>177</v>
      </c>
      <c r="D191" s="40" t="s">
        <v>292</v>
      </c>
      <c r="E191" s="40" t="s">
        <v>318</v>
      </c>
      <c r="F191" s="40"/>
      <c r="G191" s="41">
        <f t="shared" ref="G191:I192" si="57">G192</f>
        <v>15000</v>
      </c>
      <c r="H191" s="47">
        <f t="shared" si="57"/>
        <v>0</v>
      </c>
      <c r="I191" s="47">
        <f t="shared" si="57"/>
        <v>0</v>
      </c>
    </row>
    <row r="192" spans="1:9" x14ac:dyDescent="0.2">
      <c r="A192" s="35" t="s">
        <v>195</v>
      </c>
      <c r="B192" s="48">
        <v>598</v>
      </c>
      <c r="C192" s="36" t="s">
        <v>177</v>
      </c>
      <c r="D192" s="36" t="s">
        <v>292</v>
      </c>
      <c r="E192" s="36" t="s">
        <v>318</v>
      </c>
      <c r="F192" s="48">
        <v>200</v>
      </c>
      <c r="G192" s="37">
        <f t="shared" si="57"/>
        <v>15000</v>
      </c>
      <c r="H192" s="46">
        <f t="shared" si="57"/>
        <v>0</v>
      </c>
      <c r="I192" s="46">
        <f t="shared" si="57"/>
        <v>0</v>
      </c>
    </row>
    <row r="193" spans="1:9" x14ac:dyDescent="0.2">
      <c r="A193" s="35" t="s">
        <v>197</v>
      </c>
      <c r="B193" s="48">
        <v>598</v>
      </c>
      <c r="C193" s="36" t="s">
        <v>177</v>
      </c>
      <c r="D193" s="36" t="s">
        <v>292</v>
      </c>
      <c r="E193" s="36" t="s">
        <v>318</v>
      </c>
      <c r="F193" s="36" t="s">
        <v>198</v>
      </c>
      <c r="G193" s="37">
        <v>15000</v>
      </c>
      <c r="H193" s="46">
        <v>0</v>
      </c>
      <c r="I193" s="46">
        <v>0</v>
      </c>
    </row>
    <row r="194" spans="1:9" x14ac:dyDescent="0.2">
      <c r="A194" s="52" t="s">
        <v>263</v>
      </c>
      <c r="B194" s="49" t="s">
        <v>176</v>
      </c>
      <c r="C194" s="49" t="s">
        <v>177</v>
      </c>
      <c r="D194" s="49" t="s">
        <v>292</v>
      </c>
      <c r="E194" s="49" t="s">
        <v>319</v>
      </c>
      <c r="F194" s="30"/>
      <c r="G194" s="53">
        <f>G195</f>
        <v>8423.3690000000006</v>
      </c>
      <c r="H194" s="53">
        <f t="shared" ref="H194:I194" si="58">H195</f>
        <v>5000</v>
      </c>
      <c r="I194" s="53">
        <f t="shared" si="58"/>
        <v>5000</v>
      </c>
    </row>
    <row r="195" spans="1:9" x14ac:dyDescent="0.2">
      <c r="A195" s="29" t="s">
        <v>320</v>
      </c>
      <c r="B195" s="30" t="s">
        <v>176</v>
      </c>
      <c r="C195" s="30" t="s">
        <v>177</v>
      </c>
      <c r="D195" s="30" t="s">
        <v>292</v>
      </c>
      <c r="E195" s="30" t="s">
        <v>319</v>
      </c>
      <c r="F195" s="36"/>
      <c r="G195" s="31">
        <f>G196+G198</f>
        <v>8423.3690000000006</v>
      </c>
      <c r="H195" s="31">
        <f>H196+H198</f>
        <v>5000</v>
      </c>
      <c r="I195" s="31">
        <f>I196+I198</f>
        <v>5000</v>
      </c>
    </row>
    <row r="196" spans="1:9" ht="24" x14ac:dyDescent="0.2">
      <c r="A196" s="35" t="s">
        <v>185</v>
      </c>
      <c r="B196" s="36" t="s">
        <v>176</v>
      </c>
      <c r="C196" s="36" t="s">
        <v>177</v>
      </c>
      <c r="D196" s="36" t="s">
        <v>292</v>
      </c>
      <c r="E196" s="36" t="s">
        <v>319</v>
      </c>
      <c r="F196" s="36" t="s">
        <v>186</v>
      </c>
      <c r="G196" s="37">
        <f>G197</f>
        <v>6923.3690000000006</v>
      </c>
      <c r="H196" s="37">
        <f t="shared" ref="H196:I196" si="59">H197</f>
        <v>4700</v>
      </c>
      <c r="I196" s="37">
        <f t="shared" si="59"/>
        <v>4700</v>
      </c>
    </row>
    <row r="197" spans="1:9" x14ac:dyDescent="0.2">
      <c r="A197" s="35" t="s">
        <v>266</v>
      </c>
      <c r="B197" s="36" t="s">
        <v>176</v>
      </c>
      <c r="C197" s="36" t="s">
        <v>177</v>
      </c>
      <c r="D197" s="36" t="s">
        <v>292</v>
      </c>
      <c r="E197" s="36" t="s">
        <v>319</v>
      </c>
      <c r="F197" s="36" t="s">
        <v>267</v>
      </c>
      <c r="G197" s="37">
        <f>2688+812+3423.369</f>
        <v>6923.3690000000006</v>
      </c>
      <c r="H197" s="82">
        <f>3525+975+50+150</f>
        <v>4700</v>
      </c>
      <c r="I197" s="82">
        <f>3525+975+50+150</f>
        <v>4700</v>
      </c>
    </row>
    <row r="198" spans="1:9" x14ac:dyDescent="0.2">
      <c r="A198" s="35" t="s">
        <v>195</v>
      </c>
      <c r="B198" s="36" t="s">
        <v>176</v>
      </c>
      <c r="C198" s="36" t="s">
        <v>177</v>
      </c>
      <c r="D198" s="36" t="s">
        <v>292</v>
      </c>
      <c r="E198" s="36" t="s">
        <v>319</v>
      </c>
      <c r="F198" s="36" t="s">
        <v>196</v>
      </c>
      <c r="G198" s="82">
        <f>G199</f>
        <v>1500</v>
      </c>
      <c r="H198" s="82">
        <f t="shared" ref="H198:I198" si="60">H199</f>
        <v>300</v>
      </c>
      <c r="I198" s="82">
        <f t="shared" si="60"/>
        <v>300</v>
      </c>
    </row>
    <row r="199" spans="1:9" x14ac:dyDescent="0.2">
      <c r="A199" s="35" t="s">
        <v>197</v>
      </c>
      <c r="B199" s="36" t="s">
        <v>176</v>
      </c>
      <c r="C199" s="36" t="s">
        <v>177</v>
      </c>
      <c r="D199" s="36" t="s">
        <v>292</v>
      </c>
      <c r="E199" s="36" t="s">
        <v>319</v>
      </c>
      <c r="F199" s="36" t="s">
        <v>198</v>
      </c>
      <c r="G199" s="82">
        <v>1500</v>
      </c>
      <c r="H199" s="82">
        <v>300</v>
      </c>
      <c r="I199" s="82">
        <v>300</v>
      </c>
    </row>
    <row r="200" spans="1:9" x14ac:dyDescent="0.2">
      <c r="A200" s="29" t="s">
        <v>321</v>
      </c>
      <c r="B200" s="30">
        <v>598</v>
      </c>
      <c r="C200" s="30" t="s">
        <v>284</v>
      </c>
      <c r="D200" s="30" t="s">
        <v>174</v>
      </c>
      <c r="E200" s="30"/>
      <c r="F200" s="30"/>
      <c r="G200" s="31">
        <f>G201+G207</f>
        <v>127871.44130000001</v>
      </c>
      <c r="H200" s="31">
        <f t="shared" ref="H200:I200" si="61">H201+H207</f>
        <v>47229.7</v>
      </c>
      <c r="I200" s="31">
        <f t="shared" si="61"/>
        <v>33379.5</v>
      </c>
    </row>
    <row r="201" spans="1:9" x14ac:dyDescent="0.2">
      <c r="A201" s="29" t="s">
        <v>322</v>
      </c>
      <c r="B201" s="30" t="s">
        <v>176</v>
      </c>
      <c r="C201" s="30" t="s">
        <v>284</v>
      </c>
      <c r="D201" s="30" t="s">
        <v>173</v>
      </c>
      <c r="E201" s="30" t="s">
        <v>189</v>
      </c>
      <c r="F201" s="30"/>
      <c r="G201" s="31">
        <f>G202</f>
        <v>28879.5</v>
      </c>
      <c r="H201" s="31">
        <f t="shared" ref="H201:I205" si="62">H202</f>
        <v>28879.5</v>
      </c>
      <c r="I201" s="31">
        <f t="shared" si="62"/>
        <v>28879.5</v>
      </c>
    </row>
    <row r="202" spans="1:9" x14ac:dyDescent="0.2">
      <c r="A202" s="39" t="s">
        <v>285</v>
      </c>
      <c r="B202" s="40">
        <v>598</v>
      </c>
      <c r="C202" s="40" t="s">
        <v>284</v>
      </c>
      <c r="D202" s="40" t="s">
        <v>173</v>
      </c>
      <c r="E202" s="40" t="s">
        <v>189</v>
      </c>
      <c r="F202" s="30"/>
      <c r="G202" s="41">
        <f>G203</f>
        <v>28879.5</v>
      </c>
      <c r="H202" s="41">
        <f t="shared" si="62"/>
        <v>28879.5</v>
      </c>
      <c r="I202" s="41">
        <f t="shared" si="62"/>
        <v>28879.5</v>
      </c>
    </row>
    <row r="203" spans="1:9" x14ac:dyDescent="0.2">
      <c r="A203" s="29" t="s">
        <v>180</v>
      </c>
      <c r="B203" s="30">
        <v>598</v>
      </c>
      <c r="C203" s="30" t="s">
        <v>284</v>
      </c>
      <c r="D203" s="30" t="s">
        <v>173</v>
      </c>
      <c r="E203" s="30" t="s">
        <v>190</v>
      </c>
      <c r="F203" s="30"/>
      <c r="G203" s="31">
        <f>G204</f>
        <v>28879.5</v>
      </c>
      <c r="H203" s="31">
        <f t="shared" si="62"/>
        <v>28879.5</v>
      </c>
      <c r="I203" s="31">
        <f t="shared" si="62"/>
        <v>28879.5</v>
      </c>
    </row>
    <row r="204" spans="1:9" ht="24" x14ac:dyDescent="0.2">
      <c r="A204" s="29" t="s">
        <v>323</v>
      </c>
      <c r="B204" s="30" t="s">
        <v>176</v>
      </c>
      <c r="C204" s="30" t="s">
        <v>284</v>
      </c>
      <c r="D204" s="30" t="s">
        <v>173</v>
      </c>
      <c r="E204" s="30" t="s">
        <v>324</v>
      </c>
      <c r="F204" s="30"/>
      <c r="G204" s="31">
        <f>G205</f>
        <v>28879.5</v>
      </c>
      <c r="H204" s="31">
        <f t="shared" si="62"/>
        <v>28879.5</v>
      </c>
      <c r="I204" s="31">
        <f t="shared" si="62"/>
        <v>28879.5</v>
      </c>
    </row>
    <row r="205" spans="1:9" x14ac:dyDescent="0.2">
      <c r="A205" s="35" t="s">
        <v>325</v>
      </c>
      <c r="B205" s="36" t="s">
        <v>176</v>
      </c>
      <c r="C205" s="36" t="s">
        <v>284</v>
      </c>
      <c r="D205" s="36" t="s">
        <v>173</v>
      </c>
      <c r="E205" s="36" t="s">
        <v>324</v>
      </c>
      <c r="F205" s="36" t="s">
        <v>326</v>
      </c>
      <c r="G205" s="37">
        <f>G206</f>
        <v>28879.5</v>
      </c>
      <c r="H205" s="37">
        <f t="shared" si="62"/>
        <v>28879.5</v>
      </c>
      <c r="I205" s="37">
        <f t="shared" si="62"/>
        <v>28879.5</v>
      </c>
    </row>
    <row r="206" spans="1:9" x14ac:dyDescent="0.2">
      <c r="A206" s="35" t="s">
        <v>327</v>
      </c>
      <c r="B206" s="36" t="s">
        <v>176</v>
      </c>
      <c r="C206" s="36" t="s">
        <v>284</v>
      </c>
      <c r="D206" s="36" t="s">
        <v>173</v>
      </c>
      <c r="E206" s="36" t="s">
        <v>324</v>
      </c>
      <c r="F206" s="36" t="s">
        <v>328</v>
      </c>
      <c r="G206" s="37">
        <v>28879.5</v>
      </c>
      <c r="H206" s="37">
        <v>28879.5</v>
      </c>
      <c r="I206" s="37">
        <v>28879.5</v>
      </c>
    </row>
    <row r="207" spans="1:9" x14ac:dyDescent="0.2">
      <c r="A207" s="29" t="s">
        <v>329</v>
      </c>
      <c r="B207" s="30" t="s">
        <v>176</v>
      </c>
      <c r="C207" s="30" t="s">
        <v>284</v>
      </c>
      <c r="D207" s="30" t="s">
        <v>283</v>
      </c>
      <c r="E207" s="30"/>
      <c r="F207" s="30"/>
      <c r="G207" s="31">
        <f>G208+G212</f>
        <v>98991.941300000006</v>
      </c>
      <c r="H207" s="31">
        <f>H208+H212+H226</f>
        <v>18350.2</v>
      </c>
      <c r="I207" s="31">
        <f>I208+I212+I226</f>
        <v>4500</v>
      </c>
    </row>
    <row r="208" spans="1:9" ht="24" x14ac:dyDescent="0.2">
      <c r="A208" s="39" t="s">
        <v>330</v>
      </c>
      <c r="B208" s="40" t="s">
        <v>176</v>
      </c>
      <c r="C208" s="40" t="s">
        <v>284</v>
      </c>
      <c r="D208" s="40" t="s">
        <v>283</v>
      </c>
      <c r="E208" s="43" t="s">
        <v>331</v>
      </c>
      <c r="F208" s="40"/>
      <c r="G208" s="41">
        <f>G209</f>
        <v>1500</v>
      </c>
      <c r="H208" s="41">
        <f t="shared" ref="H208:I210" si="63">H209</f>
        <v>1500</v>
      </c>
      <c r="I208" s="41">
        <f t="shared" si="63"/>
        <v>1500</v>
      </c>
    </row>
    <row r="209" spans="1:9" ht="24" x14ac:dyDescent="0.2">
      <c r="A209" s="50" t="s">
        <v>332</v>
      </c>
      <c r="B209" s="30" t="s">
        <v>176</v>
      </c>
      <c r="C209" s="30" t="s">
        <v>284</v>
      </c>
      <c r="D209" s="30" t="s">
        <v>283</v>
      </c>
      <c r="E209" s="51" t="s">
        <v>333</v>
      </c>
      <c r="F209" s="30"/>
      <c r="G209" s="31">
        <f>G210</f>
        <v>1500</v>
      </c>
      <c r="H209" s="31">
        <f t="shared" si="63"/>
        <v>1500</v>
      </c>
      <c r="I209" s="31">
        <f t="shared" si="63"/>
        <v>1500</v>
      </c>
    </row>
    <row r="210" spans="1:9" x14ac:dyDescent="0.2">
      <c r="A210" s="35" t="s">
        <v>325</v>
      </c>
      <c r="B210" s="36" t="s">
        <v>176</v>
      </c>
      <c r="C210" s="36" t="s">
        <v>284</v>
      </c>
      <c r="D210" s="36" t="s">
        <v>283</v>
      </c>
      <c r="E210" s="44" t="s">
        <v>333</v>
      </c>
      <c r="F210" s="36" t="s">
        <v>326</v>
      </c>
      <c r="G210" s="37">
        <f>G211</f>
        <v>1500</v>
      </c>
      <c r="H210" s="37">
        <f t="shared" si="63"/>
        <v>1500</v>
      </c>
      <c r="I210" s="37">
        <f t="shared" si="63"/>
        <v>1500</v>
      </c>
    </row>
    <row r="211" spans="1:9" x14ac:dyDescent="0.2">
      <c r="A211" s="35" t="s">
        <v>327</v>
      </c>
      <c r="B211" s="36" t="s">
        <v>176</v>
      </c>
      <c r="C211" s="36" t="s">
        <v>284</v>
      </c>
      <c r="D211" s="36" t="s">
        <v>283</v>
      </c>
      <c r="E211" s="44" t="s">
        <v>333</v>
      </c>
      <c r="F211" s="36" t="s">
        <v>328</v>
      </c>
      <c r="G211" s="37">
        <v>1500</v>
      </c>
      <c r="H211" s="37">
        <v>1500</v>
      </c>
      <c r="I211" s="37">
        <v>1500</v>
      </c>
    </row>
    <row r="212" spans="1:9" x14ac:dyDescent="0.2">
      <c r="A212" s="39" t="s">
        <v>285</v>
      </c>
      <c r="B212" s="40">
        <v>598</v>
      </c>
      <c r="C212" s="40" t="s">
        <v>284</v>
      </c>
      <c r="D212" s="40" t="s">
        <v>283</v>
      </c>
      <c r="E212" s="40" t="s">
        <v>189</v>
      </c>
      <c r="F212" s="30"/>
      <c r="G212" s="41">
        <f>G213</f>
        <v>97491.941300000006</v>
      </c>
      <c r="H212" s="41">
        <f t="shared" ref="H212:I212" si="64">H213</f>
        <v>16850.2</v>
      </c>
      <c r="I212" s="41">
        <f t="shared" si="64"/>
        <v>3000</v>
      </c>
    </row>
    <row r="213" spans="1:9" x14ac:dyDescent="0.2">
      <c r="A213" s="29" t="s">
        <v>180</v>
      </c>
      <c r="B213" s="30">
        <v>598</v>
      </c>
      <c r="C213" s="30" t="s">
        <v>284</v>
      </c>
      <c r="D213" s="30" t="s">
        <v>283</v>
      </c>
      <c r="E213" s="30" t="s">
        <v>190</v>
      </c>
      <c r="F213" s="30"/>
      <c r="G213" s="31">
        <f>G214+G217+G220+G223+G226+G229</f>
        <v>97491.941300000006</v>
      </c>
      <c r="H213" s="31">
        <f t="shared" ref="H213:I213" si="65">H214+H217+H220+H223+H226+H229</f>
        <v>16850.2</v>
      </c>
      <c r="I213" s="31">
        <f t="shared" si="65"/>
        <v>3000</v>
      </c>
    </row>
    <row r="214" spans="1:9" x14ac:dyDescent="0.2">
      <c r="A214" s="29" t="s">
        <v>334</v>
      </c>
      <c r="B214" s="30" t="s">
        <v>176</v>
      </c>
      <c r="C214" s="30" t="s">
        <v>284</v>
      </c>
      <c r="D214" s="30" t="s">
        <v>283</v>
      </c>
      <c r="E214" s="203" t="s">
        <v>335</v>
      </c>
      <c r="F214" s="30"/>
      <c r="G214" s="45">
        <f>G215</f>
        <v>20322.650880000001</v>
      </c>
      <c r="H214" s="45">
        <f t="shared" ref="H214:I215" si="66">H215</f>
        <v>13850.2</v>
      </c>
      <c r="I214" s="45">
        <f t="shared" si="66"/>
        <v>0</v>
      </c>
    </row>
    <row r="215" spans="1:9" x14ac:dyDescent="0.2">
      <c r="A215" s="35" t="s">
        <v>325</v>
      </c>
      <c r="B215" s="36" t="s">
        <v>176</v>
      </c>
      <c r="C215" s="36" t="s">
        <v>284</v>
      </c>
      <c r="D215" s="36" t="s">
        <v>283</v>
      </c>
      <c r="E215" s="204" t="s">
        <v>335</v>
      </c>
      <c r="F215" s="36" t="s">
        <v>326</v>
      </c>
      <c r="G215" s="46">
        <f>G216</f>
        <v>20322.650880000001</v>
      </c>
      <c r="H215" s="46">
        <f t="shared" si="66"/>
        <v>13850.2</v>
      </c>
      <c r="I215" s="46">
        <f t="shared" si="66"/>
        <v>0</v>
      </c>
    </row>
    <row r="216" spans="1:9" x14ac:dyDescent="0.2">
      <c r="A216" s="35" t="s">
        <v>336</v>
      </c>
      <c r="B216" s="36" t="s">
        <v>176</v>
      </c>
      <c r="C216" s="36" t="s">
        <v>284</v>
      </c>
      <c r="D216" s="36" t="s">
        <v>283</v>
      </c>
      <c r="E216" s="204" t="s">
        <v>335</v>
      </c>
      <c r="F216" s="36" t="s">
        <v>337</v>
      </c>
      <c r="G216" s="37">
        <f>11106.8+9215.85088</f>
        <v>20322.650880000001</v>
      </c>
      <c r="H216" s="46">
        <v>13850.2</v>
      </c>
      <c r="I216" s="46">
        <f>13297.1-13297.1</f>
        <v>0</v>
      </c>
    </row>
    <row r="217" spans="1:9" x14ac:dyDescent="0.2">
      <c r="A217" s="29" t="s">
        <v>338</v>
      </c>
      <c r="B217" s="30" t="s">
        <v>176</v>
      </c>
      <c r="C217" s="30" t="s">
        <v>284</v>
      </c>
      <c r="D217" s="30" t="s">
        <v>283</v>
      </c>
      <c r="E217" s="203" t="s">
        <v>339</v>
      </c>
      <c r="F217" s="30"/>
      <c r="G217" s="31">
        <f>G218</f>
        <v>9761.1604200000002</v>
      </c>
      <c r="H217" s="31">
        <f t="shared" ref="H217:I218" si="67">H218</f>
        <v>3000</v>
      </c>
      <c r="I217" s="31">
        <f t="shared" si="67"/>
        <v>3000</v>
      </c>
    </row>
    <row r="218" spans="1:9" x14ac:dyDescent="0.2">
      <c r="A218" s="35" t="s">
        <v>325</v>
      </c>
      <c r="B218" s="36" t="s">
        <v>176</v>
      </c>
      <c r="C218" s="36" t="s">
        <v>284</v>
      </c>
      <c r="D218" s="36" t="s">
        <v>283</v>
      </c>
      <c r="E218" s="204" t="s">
        <v>339</v>
      </c>
      <c r="F218" s="36" t="s">
        <v>326</v>
      </c>
      <c r="G218" s="37">
        <f>G219</f>
        <v>9761.1604200000002</v>
      </c>
      <c r="H218" s="37">
        <f t="shared" si="67"/>
        <v>3000</v>
      </c>
      <c r="I218" s="37">
        <f t="shared" si="67"/>
        <v>3000</v>
      </c>
    </row>
    <row r="219" spans="1:9" x14ac:dyDescent="0.2">
      <c r="A219" s="35" t="s">
        <v>336</v>
      </c>
      <c r="B219" s="36" t="s">
        <v>176</v>
      </c>
      <c r="C219" s="36" t="s">
        <v>284</v>
      </c>
      <c r="D219" s="36" t="s">
        <v>283</v>
      </c>
      <c r="E219" s="204" t="s">
        <v>339</v>
      </c>
      <c r="F219" s="36" t="s">
        <v>337</v>
      </c>
      <c r="G219" s="37">
        <f>3000+7500-600-138.83958</f>
        <v>9761.1604200000002</v>
      </c>
      <c r="H219" s="37">
        <v>3000</v>
      </c>
      <c r="I219" s="37">
        <v>3000</v>
      </c>
    </row>
    <row r="220" spans="1:9" ht="24" x14ac:dyDescent="0.2">
      <c r="A220" s="29" t="s">
        <v>340</v>
      </c>
      <c r="B220" s="30" t="s">
        <v>176</v>
      </c>
      <c r="C220" s="30" t="s">
        <v>284</v>
      </c>
      <c r="D220" s="30" t="s">
        <v>283</v>
      </c>
      <c r="E220" s="30" t="s">
        <v>341</v>
      </c>
      <c r="F220" s="30"/>
      <c r="G220" s="31">
        <f>G221</f>
        <v>26864.13</v>
      </c>
      <c r="H220" s="45">
        <f t="shared" ref="H220:I221" si="68">H221</f>
        <v>0</v>
      </c>
      <c r="I220" s="45">
        <f t="shared" si="68"/>
        <v>0</v>
      </c>
    </row>
    <row r="221" spans="1:9" x14ac:dyDescent="0.2">
      <c r="A221" s="35" t="s">
        <v>325</v>
      </c>
      <c r="B221" s="36" t="s">
        <v>176</v>
      </c>
      <c r="C221" s="36" t="s">
        <v>284</v>
      </c>
      <c r="D221" s="36" t="s">
        <v>283</v>
      </c>
      <c r="E221" s="36" t="s">
        <v>341</v>
      </c>
      <c r="F221" s="36" t="s">
        <v>326</v>
      </c>
      <c r="G221" s="37">
        <f>G222</f>
        <v>26864.13</v>
      </c>
      <c r="H221" s="46">
        <f t="shared" si="68"/>
        <v>0</v>
      </c>
      <c r="I221" s="46">
        <f t="shared" si="68"/>
        <v>0</v>
      </c>
    </row>
    <row r="222" spans="1:9" x14ac:dyDescent="0.2">
      <c r="A222" s="35" t="s">
        <v>336</v>
      </c>
      <c r="B222" s="36" t="s">
        <v>176</v>
      </c>
      <c r="C222" s="36" t="s">
        <v>284</v>
      </c>
      <c r="D222" s="36" t="s">
        <v>283</v>
      </c>
      <c r="E222" s="36" t="s">
        <v>341</v>
      </c>
      <c r="F222" s="36" t="s">
        <v>337</v>
      </c>
      <c r="G222" s="37">
        <f>20000+306.13+6558</f>
        <v>26864.13</v>
      </c>
      <c r="H222" s="46">
        <v>0</v>
      </c>
      <c r="I222" s="46">
        <v>0</v>
      </c>
    </row>
    <row r="223" spans="1:9" x14ac:dyDescent="0.2">
      <c r="A223" s="29" t="s">
        <v>342</v>
      </c>
      <c r="B223" s="30" t="s">
        <v>176</v>
      </c>
      <c r="C223" s="30" t="s">
        <v>284</v>
      </c>
      <c r="D223" s="30" t="s">
        <v>283</v>
      </c>
      <c r="E223" s="30" t="s">
        <v>343</v>
      </c>
      <c r="F223" s="36"/>
      <c r="G223" s="31">
        <f>G224</f>
        <v>12834</v>
      </c>
      <c r="H223" s="45">
        <f t="shared" ref="H223:I224" si="69">H224</f>
        <v>0</v>
      </c>
      <c r="I223" s="45">
        <f t="shared" si="69"/>
        <v>0</v>
      </c>
    </row>
    <row r="224" spans="1:9" x14ac:dyDescent="0.2">
      <c r="A224" s="35" t="s">
        <v>344</v>
      </c>
      <c r="B224" s="36" t="s">
        <v>176</v>
      </c>
      <c r="C224" s="36" t="s">
        <v>284</v>
      </c>
      <c r="D224" s="36" t="s">
        <v>283</v>
      </c>
      <c r="E224" s="36" t="s">
        <v>343</v>
      </c>
      <c r="F224" s="36" t="s">
        <v>345</v>
      </c>
      <c r="G224" s="37">
        <f>G225</f>
        <v>12834</v>
      </c>
      <c r="H224" s="46">
        <f t="shared" si="69"/>
        <v>0</v>
      </c>
      <c r="I224" s="46">
        <f t="shared" si="69"/>
        <v>0</v>
      </c>
    </row>
    <row r="225" spans="1:9" x14ac:dyDescent="0.2">
      <c r="A225" s="35" t="s">
        <v>346</v>
      </c>
      <c r="B225" s="36" t="s">
        <v>176</v>
      </c>
      <c r="C225" s="36" t="s">
        <v>284</v>
      </c>
      <c r="D225" s="36" t="s">
        <v>283</v>
      </c>
      <c r="E225" s="36" t="s">
        <v>343</v>
      </c>
      <c r="F225" s="36" t="s">
        <v>347</v>
      </c>
      <c r="G225" s="37">
        <v>12834</v>
      </c>
      <c r="H225" s="46">
        <v>0</v>
      </c>
      <c r="I225" s="46">
        <v>0</v>
      </c>
    </row>
    <row r="226" spans="1:9" x14ac:dyDescent="0.2">
      <c r="A226" s="29" t="s">
        <v>211</v>
      </c>
      <c r="B226" s="30" t="s">
        <v>176</v>
      </c>
      <c r="C226" s="30" t="s">
        <v>284</v>
      </c>
      <c r="D226" s="30" t="s">
        <v>283</v>
      </c>
      <c r="E226" s="30" t="s">
        <v>212</v>
      </c>
      <c r="F226" s="36"/>
      <c r="G226" s="31">
        <f t="shared" ref="G226:I227" si="70">G227</f>
        <v>1350</v>
      </c>
      <c r="H226" s="45">
        <f t="shared" si="70"/>
        <v>0</v>
      </c>
      <c r="I226" s="45">
        <f t="shared" si="70"/>
        <v>0</v>
      </c>
    </row>
    <row r="227" spans="1:9" x14ac:dyDescent="0.2">
      <c r="A227" s="35" t="s">
        <v>325</v>
      </c>
      <c r="B227" s="36" t="s">
        <v>176</v>
      </c>
      <c r="C227" s="36" t="s">
        <v>284</v>
      </c>
      <c r="D227" s="36" t="s">
        <v>283</v>
      </c>
      <c r="E227" s="36" t="s">
        <v>212</v>
      </c>
      <c r="F227" s="36" t="s">
        <v>326</v>
      </c>
      <c r="G227" s="37">
        <f t="shared" si="70"/>
        <v>1350</v>
      </c>
      <c r="H227" s="46">
        <f t="shared" si="70"/>
        <v>0</v>
      </c>
      <c r="I227" s="46">
        <f t="shared" si="70"/>
        <v>0</v>
      </c>
    </row>
    <row r="228" spans="1:9" x14ac:dyDescent="0.2">
      <c r="A228" s="35" t="s">
        <v>336</v>
      </c>
      <c r="B228" s="36" t="s">
        <v>176</v>
      </c>
      <c r="C228" s="36" t="s">
        <v>284</v>
      </c>
      <c r="D228" s="36" t="s">
        <v>283</v>
      </c>
      <c r="E228" s="36" t="s">
        <v>212</v>
      </c>
      <c r="F228" s="36" t="s">
        <v>337</v>
      </c>
      <c r="G228" s="37">
        <f>150+1100+100</f>
        <v>1350</v>
      </c>
      <c r="H228" s="46">
        <v>0</v>
      </c>
      <c r="I228" s="46">
        <v>0</v>
      </c>
    </row>
    <row r="229" spans="1:9" x14ac:dyDescent="0.2">
      <c r="A229" s="29" t="s">
        <v>348</v>
      </c>
      <c r="B229" s="30" t="s">
        <v>176</v>
      </c>
      <c r="C229" s="30" t="s">
        <v>284</v>
      </c>
      <c r="D229" s="30" t="s">
        <v>283</v>
      </c>
      <c r="E229" s="30" t="s">
        <v>349</v>
      </c>
      <c r="F229" s="30"/>
      <c r="G229" s="31">
        <f t="shared" ref="G229:I230" si="71">G230</f>
        <v>26360</v>
      </c>
      <c r="H229" s="45">
        <f t="shared" si="71"/>
        <v>0</v>
      </c>
      <c r="I229" s="45">
        <f t="shared" si="71"/>
        <v>0</v>
      </c>
    </row>
    <row r="230" spans="1:9" x14ac:dyDescent="0.2">
      <c r="A230" s="35" t="s">
        <v>325</v>
      </c>
      <c r="B230" s="36" t="s">
        <v>176</v>
      </c>
      <c r="C230" s="36" t="s">
        <v>284</v>
      </c>
      <c r="D230" s="36" t="s">
        <v>283</v>
      </c>
      <c r="E230" s="36" t="s">
        <v>349</v>
      </c>
      <c r="F230" s="36" t="s">
        <v>326</v>
      </c>
      <c r="G230" s="37">
        <f t="shared" si="71"/>
        <v>26360</v>
      </c>
      <c r="H230" s="46">
        <f t="shared" si="71"/>
        <v>0</v>
      </c>
      <c r="I230" s="46">
        <f t="shared" si="71"/>
        <v>0</v>
      </c>
    </row>
    <row r="231" spans="1:9" x14ac:dyDescent="0.2">
      <c r="A231" s="35" t="s">
        <v>336</v>
      </c>
      <c r="B231" s="36" t="s">
        <v>176</v>
      </c>
      <c r="C231" s="36" t="s">
        <v>284</v>
      </c>
      <c r="D231" s="36" t="s">
        <v>283</v>
      </c>
      <c r="E231" s="36" t="s">
        <v>349</v>
      </c>
      <c r="F231" s="36" t="s">
        <v>337</v>
      </c>
      <c r="G231" s="37">
        <v>26360</v>
      </c>
      <c r="H231" s="46">
        <v>0</v>
      </c>
      <c r="I231" s="46">
        <v>0</v>
      </c>
    </row>
    <row r="232" spans="1:9" x14ac:dyDescent="0.2">
      <c r="A232" s="29" t="s">
        <v>350</v>
      </c>
      <c r="B232" s="30" t="s">
        <v>176</v>
      </c>
      <c r="C232" s="30" t="s">
        <v>292</v>
      </c>
      <c r="D232" s="30" t="s">
        <v>174</v>
      </c>
      <c r="E232" s="30"/>
      <c r="F232" s="30"/>
      <c r="G232" s="31">
        <f>G233</f>
        <v>10057.299000000001</v>
      </c>
      <c r="H232" s="31">
        <f t="shared" ref="H232:I236" si="72">H233</f>
        <v>11187.2</v>
      </c>
      <c r="I232" s="31">
        <f t="shared" si="72"/>
        <v>11187.2</v>
      </c>
    </row>
    <row r="233" spans="1:9" ht="15.75" x14ac:dyDescent="0.2">
      <c r="A233" s="29" t="s">
        <v>351</v>
      </c>
      <c r="B233" s="30" t="s">
        <v>176</v>
      </c>
      <c r="C233" s="30" t="s">
        <v>292</v>
      </c>
      <c r="D233" s="30" t="s">
        <v>352</v>
      </c>
      <c r="E233" s="30" t="s">
        <v>189</v>
      </c>
      <c r="F233" s="205"/>
      <c r="G233" s="31">
        <f>G234</f>
        <v>10057.299000000001</v>
      </c>
      <c r="H233" s="31">
        <f t="shared" si="72"/>
        <v>11187.2</v>
      </c>
      <c r="I233" s="31">
        <f t="shared" si="72"/>
        <v>11187.2</v>
      </c>
    </row>
    <row r="234" spans="1:9" x14ac:dyDescent="0.2">
      <c r="A234" s="29" t="s">
        <v>353</v>
      </c>
      <c r="B234" s="30" t="s">
        <v>176</v>
      </c>
      <c r="C234" s="30" t="s">
        <v>292</v>
      </c>
      <c r="D234" s="30" t="s">
        <v>352</v>
      </c>
      <c r="E234" s="30" t="s">
        <v>190</v>
      </c>
      <c r="F234" s="30"/>
      <c r="G234" s="31">
        <f>G235</f>
        <v>10057.299000000001</v>
      </c>
      <c r="H234" s="31">
        <f t="shared" si="72"/>
        <v>11187.2</v>
      </c>
      <c r="I234" s="31">
        <f t="shared" si="72"/>
        <v>11187.2</v>
      </c>
    </row>
    <row r="235" spans="1:9" ht="16.5" customHeight="1" x14ac:dyDescent="0.2">
      <c r="A235" s="29" t="s">
        <v>774</v>
      </c>
      <c r="B235" s="30" t="s">
        <v>176</v>
      </c>
      <c r="C235" s="30" t="s">
        <v>292</v>
      </c>
      <c r="D235" s="30" t="s">
        <v>352</v>
      </c>
      <c r="E235" s="30" t="s">
        <v>355</v>
      </c>
      <c r="F235" s="30"/>
      <c r="G235" s="31">
        <f>G236</f>
        <v>10057.299000000001</v>
      </c>
      <c r="H235" s="31">
        <f t="shared" si="72"/>
        <v>11187.2</v>
      </c>
      <c r="I235" s="31">
        <f t="shared" si="72"/>
        <v>11187.2</v>
      </c>
    </row>
    <row r="236" spans="1:9" x14ac:dyDescent="0.2">
      <c r="A236" s="35" t="s">
        <v>356</v>
      </c>
      <c r="B236" s="36" t="s">
        <v>176</v>
      </c>
      <c r="C236" s="36" t="s">
        <v>292</v>
      </c>
      <c r="D236" s="36" t="s">
        <v>352</v>
      </c>
      <c r="E236" s="36" t="s">
        <v>355</v>
      </c>
      <c r="F236" s="36" t="s">
        <v>357</v>
      </c>
      <c r="G236" s="37">
        <f>G237</f>
        <v>10057.299000000001</v>
      </c>
      <c r="H236" s="37">
        <f t="shared" si="72"/>
        <v>11187.2</v>
      </c>
      <c r="I236" s="37">
        <f t="shared" si="72"/>
        <v>11187.2</v>
      </c>
    </row>
    <row r="237" spans="1:9" x14ac:dyDescent="0.2">
      <c r="A237" s="35" t="s">
        <v>358</v>
      </c>
      <c r="B237" s="36" t="s">
        <v>176</v>
      </c>
      <c r="C237" s="36" t="s">
        <v>292</v>
      </c>
      <c r="D237" s="36" t="s">
        <v>352</v>
      </c>
      <c r="E237" s="36" t="s">
        <v>355</v>
      </c>
      <c r="F237" s="36" t="s">
        <v>359</v>
      </c>
      <c r="G237" s="37">
        <f>11187.2-1129.901</f>
        <v>10057.299000000001</v>
      </c>
      <c r="H237" s="37">
        <v>11187.2</v>
      </c>
      <c r="I237" s="37">
        <v>11187.2</v>
      </c>
    </row>
    <row r="238" spans="1:9" ht="31.5" x14ac:dyDescent="0.2">
      <c r="A238" s="200" t="s">
        <v>360</v>
      </c>
      <c r="B238" s="34">
        <v>599</v>
      </c>
      <c r="C238" s="205"/>
      <c r="D238" s="205"/>
      <c r="E238" s="34"/>
      <c r="F238" s="34"/>
      <c r="G238" s="201">
        <f>G239+G260+G267</f>
        <v>18206.843200000003</v>
      </c>
      <c r="H238" s="201">
        <f>H239+H260+H267</f>
        <v>12891.000000000002</v>
      </c>
      <c r="I238" s="201">
        <f>I239+I260+I267</f>
        <v>12891.000000000002</v>
      </c>
    </row>
    <row r="239" spans="1:9" x14ac:dyDescent="0.2">
      <c r="A239" s="29" t="s">
        <v>172</v>
      </c>
      <c r="B239" s="30" t="s">
        <v>361</v>
      </c>
      <c r="C239" s="30" t="s">
        <v>173</v>
      </c>
      <c r="D239" s="30" t="s">
        <v>174</v>
      </c>
      <c r="E239" s="30"/>
      <c r="F239" s="30"/>
      <c r="G239" s="31">
        <f>G240+G254</f>
        <v>15003.403200000002</v>
      </c>
      <c r="H239" s="31">
        <f>H240+H254</f>
        <v>11773.800000000001</v>
      </c>
      <c r="I239" s="31">
        <f>I240+I254</f>
        <v>11773.800000000001</v>
      </c>
    </row>
    <row r="240" spans="1:9" ht="24" x14ac:dyDescent="0.2">
      <c r="A240" s="29" t="s">
        <v>175</v>
      </c>
      <c r="B240" s="30" t="s">
        <v>361</v>
      </c>
      <c r="C240" s="30" t="s">
        <v>173</v>
      </c>
      <c r="D240" s="30" t="s">
        <v>177</v>
      </c>
      <c r="E240" s="30"/>
      <c r="F240" s="30"/>
      <c r="G240" s="31">
        <f>G241</f>
        <v>14503.403200000002</v>
      </c>
      <c r="H240" s="31">
        <f t="shared" ref="H240:I241" si="73">H241</f>
        <v>11273.800000000001</v>
      </c>
      <c r="I240" s="31">
        <f t="shared" si="73"/>
        <v>11273.800000000001</v>
      </c>
    </row>
    <row r="241" spans="1:9" x14ac:dyDescent="0.2">
      <c r="A241" s="39" t="s">
        <v>178</v>
      </c>
      <c r="B241" s="40" t="s">
        <v>361</v>
      </c>
      <c r="C241" s="40" t="s">
        <v>173</v>
      </c>
      <c r="D241" s="40" t="s">
        <v>177</v>
      </c>
      <c r="E241" s="40" t="s">
        <v>189</v>
      </c>
      <c r="F241" s="40"/>
      <c r="G241" s="41">
        <f>G242</f>
        <v>14503.403200000002</v>
      </c>
      <c r="H241" s="41">
        <f t="shared" si="73"/>
        <v>11273.800000000001</v>
      </c>
      <c r="I241" s="41">
        <f t="shared" si="73"/>
        <v>11273.800000000001</v>
      </c>
    </row>
    <row r="242" spans="1:9" x14ac:dyDescent="0.2">
      <c r="A242" s="29" t="s">
        <v>180</v>
      </c>
      <c r="B242" s="30" t="s">
        <v>361</v>
      </c>
      <c r="C242" s="30" t="s">
        <v>173</v>
      </c>
      <c r="D242" s="30" t="s">
        <v>177</v>
      </c>
      <c r="E242" s="30" t="s">
        <v>190</v>
      </c>
      <c r="F242" s="30"/>
      <c r="G242" s="31">
        <f>G243+G246+G251</f>
        <v>14503.403200000002</v>
      </c>
      <c r="H242" s="31">
        <f>H243+H246+H251</f>
        <v>11273.800000000001</v>
      </c>
      <c r="I242" s="31">
        <f>I243+I246+I251</f>
        <v>11273.800000000001</v>
      </c>
    </row>
    <row r="243" spans="1:9" x14ac:dyDescent="0.2">
      <c r="A243" s="29" t="s">
        <v>183</v>
      </c>
      <c r="B243" s="30" t="s">
        <v>361</v>
      </c>
      <c r="C243" s="30" t="s">
        <v>173</v>
      </c>
      <c r="D243" s="30" t="s">
        <v>177</v>
      </c>
      <c r="E243" s="30" t="s">
        <v>192</v>
      </c>
      <c r="F243" s="30"/>
      <c r="G243" s="31">
        <f>G244</f>
        <v>12058.864000000001</v>
      </c>
      <c r="H243" s="31">
        <f t="shared" ref="H243:I243" si="74">H244</f>
        <v>9596.1</v>
      </c>
      <c r="I243" s="31">
        <f t="shared" si="74"/>
        <v>9596.1</v>
      </c>
    </row>
    <row r="244" spans="1:9" ht="24" x14ac:dyDescent="0.2">
      <c r="A244" s="35" t="s">
        <v>185</v>
      </c>
      <c r="B244" s="36" t="s">
        <v>361</v>
      </c>
      <c r="C244" s="36" t="s">
        <v>173</v>
      </c>
      <c r="D244" s="36" t="s">
        <v>177</v>
      </c>
      <c r="E244" s="36" t="s">
        <v>192</v>
      </c>
      <c r="F244" s="36" t="s">
        <v>186</v>
      </c>
      <c r="G244" s="37">
        <f t="shared" ref="G244:I244" si="75">G245</f>
        <v>12058.864000000001</v>
      </c>
      <c r="H244" s="37">
        <f t="shared" si="75"/>
        <v>9596.1</v>
      </c>
      <c r="I244" s="37">
        <f t="shared" si="75"/>
        <v>9596.1</v>
      </c>
    </row>
    <row r="245" spans="1:9" x14ac:dyDescent="0.2">
      <c r="A245" s="35" t="s">
        <v>187</v>
      </c>
      <c r="B245" s="36" t="s">
        <v>361</v>
      </c>
      <c r="C245" s="36" t="s">
        <v>173</v>
      </c>
      <c r="D245" s="36" t="s">
        <v>177</v>
      </c>
      <c r="E245" s="36" t="s">
        <v>192</v>
      </c>
      <c r="F245" s="36" t="s">
        <v>188</v>
      </c>
      <c r="G245" s="37">
        <f>9596.1+2462.764</f>
        <v>12058.864000000001</v>
      </c>
      <c r="H245" s="37">
        <v>9596.1</v>
      </c>
      <c r="I245" s="37">
        <v>9596.1</v>
      </c>
    </row>
    <row r="246" spans="1:9" x14ac:dyDescent="0.2">
      <c r="A246" s="29" t="s">
        <v>193</v>
      </c>
      <c r="B246" s="30" t="s">
        <v>361</v>
      </c>
      <c r="C246" s="30" t="s">
        <v>173</v>
      </c>
      <c r="D246" s="30" t="s">
        <v>177</v>
      </c>
      <c r="E246" s="30" t="s">
        <v>194</v>
      </c>
      <c r="F246" s="30"/>
      <c r="G246" s="31">
        <f>G247+G249</f>
        <v>2031.7</v>
      </c>
      <c r="H246" s="31">
        <f>H247+H249</f>
        <v>1677.7</v>
      </c>
      <c r="I246" s="31">
        <f>I247+I249</f>
        <v>1677.7</v>
      </c>
    </row>
    <row r="247" spans="1:9" x14ac:dyDescent="0.2">
      <c r="A247" s="35" t="s">
        <v>195</v>
      </c>
      <c r="B247" s="36" t="s">
        <v>361</v>
      </c>
      <c r="C247" s="36" t="s">
        <v>173</v>
      </c>
      <c r="D247" s="36" t="s">
        <v>177</v>
      </c>
      <c r="E247" s="36" t="s">
        <v>194</v>
      </c>
      <c r="F247" s="36" t="s">
        <v>196</v>
      </c>
      <c r="G247" s="37">
        <f>G248</f>
        <v>2006.7</v>
      </c>
      <c r="H247" s="37">
        <f>H248</f>
        <v>1652.7</v>
      </c>
      <c r="I247" s="37">
        <f>I248</f>
        <v>1652.7</v>
      </c>
    </row>
    <row r="248" spans="1:9" x14ac:dyDescent="0.2">
      <c r="A248" s="35" t="s">
        <v>197</v>
      </c>
      <c r="B248" s="36" t="s">
        <v>361</v>
      </c>
      <c r="C248" s="36" t="s">
        <v>173</v>
      </c>
      <c r="D248" s="36" t="s">
        <v>177</v>
      </c>
      <c r="E248" s="36" t="s">
        <v>194</v>
      </c>
      <c r="F248" s="36" t="s">
        <v>198</v>
      </c>
      <c r="G248" s="37">
        <f>1652.7+354</f>
        <v>2006.7</v>
      </c>
      <c r="H248" s="37">
        <v>1652.7</v>
      </c>
      <c r="I248" s="37">
        <v>1652.7</v>
      </c>
    </row>
    <row r="249" spans="1:9" x14ac:dyDescent="0.2">
      <c r="A249" s="35" t="s">
        <v>199</v>
      </c>
      <c r="B249" s="36" t="s">
        <v>361</v>
      </c>
      <c r="C249" s="36" t="s">
        <v>173</v>
      </c>
      <c r="D249" s="36" t="s">
        <v>177</v>
      </c>
      <c r="E249" s="36" t="s">
        <v>194</v>
      </c>
      <c r="F249" s="36" t="s">
        <v>200</v>
      </c>
      <c r="G249" s="37">
        <f>G250</f>
        <v>25</v>
      </c>
      <c r="H249" s="37">
        <f>H250</f>
        <v>25</v>
      </c>
      <c r="I249" s="37">
        <f>I250</f>
        <v>25</v>
      </c>
    </row>
    <row r="250" spans="1:9" x14ac:dyDescent="0.2">
      <c r="A250" s="35" t="s">
        <v>201</v>
      </c>
      <c r="B250" s="36" t="s">
        <v>361</v>
      </c>
      <c r="C250" s="36" t="s">
        <v>173</v>
      </c>
      <c r="D250" s="36" t="s">
        <v>177</v>
      </c>
      <c r="E250" s="36" t="s">
        <v>194</v>
      </c>
      <c r="F250" s="36" t="s">
        <v>202</v>
      </c>
      <c r="G250" s="37">
        <v>25</v>
      </c>
      <c r="H250" s="37">
        <v>25</v>
      </c>
      <c r="I250" s="37">
        <v>25</v>
      </c>
    </row>
    <row r="251" spans="1:9" x14ac:dyDescent="0.2">
      <c r="A251" s="29" t="s">
        <v>203</v>
      </c>
      <c r="B251" s="30" t="s">
        <v>361</v>
      </c>
      <c r="C251" s="30" t="s">
        <v>173</v>
      </c>
      <c r="D251" s="30" t="s">
        <v>177</v>
      </c>
      <c r="E251" s="30" t="s">
        <v>204</v>
      </c>
      <c r="F251" s="30"/>
      <c r="G251" s="100">
        <f t="shared" ref="G251:H252" si="76">G252</f>
        <v>412.83920000000001</v>
      </c>
      <c r="H251" s="239">
        <f t="shared" si="76"/>
        <v>0</v>
      </c>
      <c r="I251" s="37"/>
    </row>
    <row r="252" spans="1:9" ht="24" x14ac:dyDescent="0.2">
      <c r="A252" s="35" t="s">
        <v>185</v>
      </c>
      <c r="B252" s="36" t="s">
        <v>361</v>
      </c>
      <c r="C252" s="36" t="s">
        <v>173</v>
      </c>
      <c r="D252" s="36" t="s">
        <v>177</v>
      </c>
      <c r="E252" s="36" t="s">
        <v>204</v>
      </c>
      <c r="F252" s="36" t="s">
        <v>186</v>
      </c>
      <c r="G252" s="98">
        <f t="shared" si="76"/>
        <v>412.83920000000001</v>
      </c>
      <c r="H252" s="240">
        <f t="shared" si="76"/>
        <v>0</v>
      </c>
      <c r="I252" s="37"/>
    </row>
    <row r="253" spans="1:9" x14ac:dyDescent="0.2">
      <c r="A253" s="35" t="s">
        <v>187</v>
      </c>
      <c r="B253" s="36" t="s">
        <v>361</v>
      </c>
      <c r="C253" s="36" t="s">
        <v>173</v>
      </c>
      <c r="D253" s="36" t="s">
        <v>177</v>
      </c>
      <c r="E253" s="36" t="s">
        <v>204</v>
      </c>
      <c r="F253" s="36" t="s">
        <v>188</v>
      </c>
      <c r="G253" s="98">
        <v>412.83920000000001</v>
      </c>
      <c r="H253" s="240">
        <v>0</v>
      </c>
      <c r="I253" s="37"/>
    </row>
    <row r="254" spans="1:9" x14ac:dyDescent="0.2">
      <c r="A254" s="57" t="s">
        <v>215</v>
      </c>
      <c r="B254" s="30" t="s">
        <v>361</v>
      </c>
      <c r="C254" s="30" t="s">
        <v>173</v>
      </c>
      <c r="D254" s="30" t="s">
        <v>216</v>
      </c>
      <c r="E254" s="30"/>
      <c r="F254" s="30"/>
      <c r="G254" s="31">
        <f>G255</f>
        <v>500</v>
      </c>
      <c r="H254" s="31">
        <f t="shared" ref="H254:I258" si="77">H255</f>
        <v>500</v>
      </c>
      <c r="I254" s="31">
        <f t="shared" si="77"/>
        <v>500</v>
      </c>
    </row>
    <row r="255" spans="1:9" x14ac:dyDescent="0.2">
      <c r="A255" s="39" t="s">
        <v>178</v>
      </c>
      <c r="B255" s="40" t="s">
        <v>361</v>
      </c>
      <c r="C255" s="40" t="s">
        <v>173</v>
      </c>
      <c r="D255" s="40" t="s">
        <v>216</v>
      </c>
      <c r="E255" s="40" t="s">
        <v>189</v>
      </c>
      <c r="F255" s="36"/>
      <c r="G255" s="206">
        <f>G256</f>
        <v>500</v>
      </c>
      <c r="H255" s="41">
        <f t="shared" si="77"/>
        <v>500</v>
      </c>
      <c r="I255" s="41">
        <f t="shared" si="77"/>
        <v>500</v>
      </c>
    </row>
    <row r="256" spans="1:9" x14ac:dyDescent="0.2">
      <c r="A256" s="29" t="s">
        <v>180</v>
      </c>
      <c r="B256" s="30" t="s">
        <v>361</v>
      </c>
      <c r="C256" s="30" t="s">
        <v>173</v>
      </c>
      <c r="D256" s="30" t="s">
        <v>216</v>
      </c>
      <c r="E256" s="30" t="s">
        <v>190</v>
      </c>
      <c r="F256" s="36"/>
      <c r="G256" s="58">
        <f>G257</f>
        <v>500</v>
      </c>
      <c r="H256" s="31">
        <f t="shared" si="77"/>
        <v>500</v>
      </c>
      <c r="I256" s="31">
        <f t="shared" si="77"/>
        <v>500</v>
      </c>
    </row>
    <row r="257" spans="1:9" x14ac:dyDescent="0.2">
      <c r="A257" s="29" t="s">
        <v>362</v>
      </c>
      <c r="B257" s="30" t="s">
        <v>361</v>
      </c>
      <c r="C257" s="30" t="s">
        <v>173</v>
      </c>
      <c r="D257" s="30" t="s">
        <v>216</v>
      </c>
      <c r="E257" s="30" t="s">
        <v>363</v>
      </c>
      <c r="F257" s="36"/>
      <c r="G257" s="58">
        <f>G258</f>
        <v>500</v>
      </c>
      <c r="H257" s="31">
        <f t="shared" si="77"/>
        <v>500</v>
      </c>
      <c r="I257" s="31">
        <f t="shared" si="77"/>
        <v>500</v>
      </c>
    </row>
    <row r="258" spans="1:9" ht="24" x14ac:dyDescent="0.2">
      <c r="A258" s="35" t="s">
        <v>185</v>
      </c>
      <c r="B258" s="36" t="s">
        <v>361</v>
      </c>
      <c r="C258" s="36" t="s">
        <v>173</v>
      </c>
      <c r="D258" s="36" t="s">
        <v>216</v>
      </c>
      <c r="E258" s="36" t="s">
        <v>363</v>
      </c>
      <c r="F258" s="36" t="s">
        <v>186</v>
      </c>
      <c r="G258" s="59">
        <f>G259</f>
        <v>500</v>
      </c>
      <c r="H258" s="37">
        <f t="shared" si="77"/>
        <v>500</v>
      </c>
      <c r="I258" s="37">
        <f t="shared" si="77"/>
        <v>500</v>
      </c>
    </row>
    <row r="259" spans="1:9" x14ac:dyDescent="0.2">
      <c r="A259" s="35" t="s">
        <v>187</v>
      </c>
      <c r="B259" s="36" t="s">
        <v>361</v>
      </c>
      <c r="C259" s="36" t="s">
        <v>173</v>
      </c>
      <c r="D259" s="36" t="s">
        <v>216</v>
      </c>
      <c r="E259" s="36" t="s">
        <v>363</v>
      </c>
      <c r="F259" s="36" t="s">
        <v>188</v>
      </c>
      <c r="G259" s="59">
        <v>500</v>
      </c>
      <c r="H259" s="37">
        <v>500</v>
      </c>
      <c r="I259" s="37">
        <v>500</v>
      </c>
    </row>
    <row r="260" spans="1:9" x14ac:dyDescent="0.2">
      <c r="A260" s="29" t="s">
        <v>290</v>
      </c>
      <c r="B260" s="30" t="s">
        <v>361</v>
      </c>
      <c r="C260" s="30" t="s">
        <v>177</v>
      </c>
      <c r="D260" s="30" t="s">
        <v>174</v>
      </c>
      <c r="E260" s="36"/>
      <c r="F260" s="36"/>
      <c r="G260" s="31">
        <f t="shared" ref="G260:I265" si="78">G261</f>
        <v>117.2</v>
      </c>
      <c r="H260" s="58">
        <f t="shared" si="78"/>
        <v>117.2</v>
      </c>
      <c r="I260" s="58">
        <f t="shared" si="78"/>
        <v>117.2</v>
      </c>
    </row>
    <row r="261" spans="1:9" x14ac:dyDescent="0.2">
      <c r="A261" s="29" t="s">
        <v>364</v>
      </c>
      <c r="B261" s="30" t="s">
        <v>361</v>
      </c>
      <c r="C261" s="30" t="s">
        <v>177</v>
      </c>
      <c r="D261" s="30" t="s">
        <v>173</v>
      </c>
      <c r="E261" s="36"/>
      <c r="F261" s="36"/>
      <c r="G261" s="31">
        <f t="shared" si="78"/>
        <v>117.2</v>
      </c>
      <c r="H261" s="58">
        <f t="shared" si="78"/>
        <v>117.2</v>
      </c>
      <c r="I261" s="58">
        <f t="shared" si="78"/>
        <v>117.2</v>
      </c>
    </row>
    <row r="262" spans="1:9" x14ac:dyDescent="0.2">
      <c r="A262" s="39" t="s">
        <v>178</v>
      </c>
      <c r="B262" s="40" t="s">
        <v>361</v>
      </c>
      <c r="C262" s="30" t="s">
        <v>177</v>
      </c>
      <c r="D262" s="30" t="s">
        <v>173</v>
      </c>
      <c r="E262" s="40" t="s">
        <v>189</v>
      </c>
      <c r="F262" s="40"/>
      <c r="G262" s="41">
        <f t="shared" si="78"/>
        <v>117.2</v>
      </c>
      <c r="H262" s="206">
        <f t="shared" si="78"/>
        <v>117.2</v>
      </c>
      <c r="I262" s="206">
        <f t="shared" si="78"/>
        <v>117.2</v>
      </c>
    </row>
    <row r="263" spans="1:9" x14ac:dyDescent="0.2">
      <c r="A263" s="29" t="s">
        <v>180</v>
      </c>
      <c r="B263" s="30" t="s">
        <v>361</v>
      </c>
      <c r="C263" s="30" t="s">
        <v>177</v>
      </c>
      <c r="D263" s="30" t="s">
        <v>173</v>
      </c>
      <c r="E263" s="30" t="s">
        <v>190</v>
      </c>
      <c r="F263" s="30"/>
      <c r="G263" s="31">
        <f t="shared" si="78"/>
        <v>117.2</v>
      </c>
      <c r="H263" s="58">
        <f t="shared" si="78"/>
        <v>117.2</v>
      </c>
      <c r="I263" s="58">
        <f t="shared" si="78"/>
        <v>117.2</v>
      </c>
    </row>
    <row r="264" spans="1:9" x14ac:dyDescent="0.2">
      <c r="A264" s="39" t="s">
        <v>365</v>
      </c>
      <c r="B264" s="40" t="s">
        <v>361</v>
      </c>
      <c r="C264" s="40" t="s">
        <v>177</v>
      </c>
      <c r="D264" s="40" t="s">
        <v>173</v>
      </c>
      <c r="E264" s="40" t="s">
        <v>366</v>
      </c>
      <c r="F264" s="40"/>
      <c r="G264" s="41">
        <f t="shared" si="78"/>
        <v>117.2</v>
      </c>
      <c r="H264" s="206">
        <f t="shared" si="78"/>
        <v>117.2</v>
      </c>
      <c r="I264" s="206">
        <f t="shared" si="78"/>
        <v>117.2</v>
      </c>
    </row>
    <row r="265" spans="1:9" ht="24" x14ac:dyDescent="0.2">
      <c r="A265" s="35" t="s">
        <v>185</v>
      </c>
      <c r="B265" s="36" t="s">
        <v>361</v>
      </c>
      <c r="C265" s="36" t="s">
        <v>177</v>
      </c>
      <c r="D265" s="36" t="s">
        <v>173</v>
      </c>
      <c r="E265" s="36" t="s">
        <v>366</v>
      </c>
      <c r="F265" s="36" t="s">
        <v>186</v>
      </c>
      <c r="G265" s="37">
        <f t="shared" si="78"/>
        <v>117.2</v>
      </c>
      <c r="H265" s="59">
        <f t="shared" si="78"/>
        <v>117.2</v>
      </c>
      <c r="I265" s="59">
        <f t="shared" si="78"/>
        <v>117.2</v>
      </c>
    </row>
    <row r="266" spans="1:9" x14ac:dyDescent="0.2">
      <c r="A266" s="35" t="s">
        <v>187</v>
      </c>
      <c r="B266" s="36" t="s">
        <v>361</v>
      </c>
      <c r="C266" s="36" t="s">
        <v>177</v>
      </c>
      <c r="D266" s="36" t="s">
        <v>173</v>
      </c>
      <c r="E266" s="36" t="s">
        <v>366</v>
      </c>
      <c r="F266" s="36" t="s">
        <v>188</v>
      </c>
      <c r="G266" s="37">
        <v>117.2</v>
      </c>
      <c r="H266" s="37">
        <v>117.2</v>
      </c>
      <c r="I266" s="37">
        <v>117.2</v>
      </c>
    </row>
    <row r="267" spans="1:9" x14ac:dyDescent="0.2">
      <c r="A267" s="29" t="s">
        <v>367</v>
      </c>
      <c r="B267" s="30" t="s">
        <v>361</v>
      </c>
      <c r="C267" s="30" t="s">
        <v>206</v>
      </c>
      <c r="D267" s="30" t="s">
        <v>174</v>
      </c>
      <c r="E267" s="36"/>
      <c r="F267" s="36"/>
      <c r="G267" s="31">
        <f t="shared" ref="G267:I272" si="79">G268</f>
        <v>3086.24</v>
      </c>
      <c r="H267" s="31">
        <f t="shared" si="79"/>
        <v>1000</v>
      </c>
      <c r="I267" s="31">
        <f t="shared" si="79"/>
        <v>1000</v>
      </c>
    </row>
    <row r="268" spans="1:9" x14ac:dyDescent="0.2">
      <c r="A268" s="29" t="s">
        <v>368</v>
      </c>
      <c r="B268" s="30" t="s">
        <v>361</v>
      </c>
      <c r="C268" s="30" t="s">
        <v>206</v>
      </c>
      <c r="D268" s="30" t="s">
        <v>283</v>
      </c>
      <c r="E268" s="40"/>
      <c r="F268" s="40"/>
      <c r="G268" s="31">
        <f t="shared" si="79"/>
        <v>3086.24</v>
      </c>
      <c r="H268" s="31">
        <f t="shared" si="79"/>
        <v>1000</v>
      </c>
      <c r="I268" s="31">
        <f t="shared" si="79"/>
        <v>1000</v>
      </c>
    </row>
    <row r="269" spans="1:9" x14ac:dyDescent="0.2">
      <c r="A269" s="39" t="s">
        <v>178</v>
      </c>
      <c r="B269" s="40" t="s">
        <v>361</v>
      </c>
      <c r="C269" s="40" t="s">
        <v>206</v>
      </c>
      <c r="D269" s="40" t="s">
        <v>283</v>
      </c>
      <c r="E269" s="40" t="s">
        <v>189</v>
      </c>
      <c r="F269" s="40"/>
      <c r="G269" s="41">
        <f t="shared" si="79"/>
        <v>3086.24</v>
      </c>
      <c r="H269" s="41">
        <f t="shared" si="79"/>
        <v>1000</v>
      </c>
      <c r="I269" s="41">
        <f t="shared" si="79"/>
        <v>1000</v>
      </c>
    </row>
    <row r="270" spans="1:9" x14ac:dyDescent="0.2">
      <c r="A270" s="29" t="s">
        <v>180</v>
      </c>
      <c r="B270" s="30" t="s">
        <v>361</v>
      </c>
      <c r="C270" s="30" t="s">
        <v>206</v>
      </c>
      <c r="D270" s="30" t="s">
        <v>283</v>
      </c>
      <c r="E270" s="30" t="s">
        <v>190</v>
      </c>
      <c r="F270" s="30"/>
      <c r="G270" s="31">
        <f t="shared" si="79"/>
        <v>3086.24</v>
      </c>
      <c r="H270" s="31">
        <f t="shared" si="79"/>
        <v>1000</v>
      </c>
      <c r="I270" s="31">
        <f t="shared" si="79"/>
        <v>1000</v>
      </c>
    </row>
    <row r="271" spans="1:9" x14ac:dyDescent="0.2">
      <c r="A271" s="29" t="s">
        <v>369</v>
      </c>
      <c r="B271" s="30" t="s">
        <v>361</v>
      </c>
      <c r="C271" s="30" t="s">
        <v>206</v>
      </c>
      <c r="D271" s="30" t="s">
        <v>283</v>
      </c>
      <c r="E271" s="51" t="s">
        <v>370</v>
      </c>
      <c r="F271" s="30"/>
      <c r="G271" s="31">
        <f t="shared" si="79"/>
        <v>3086.24</v>
      </c>
      <c r="H271" s="31">
        <f t="shared" si="79"/>
        <v>1000</v>
      </c>
      <c r="I271" s="31">
        <f t="shared" si="79"/>
        <v>1000</v>
      </c>
    </row>
    <row r="272" spans="1:9" x14ac:dyDescent="0.2">
      <c r="A272" s="68" t="s">
        <v>195</v>
      </c>
      <c r="B272" s="36" t="s">
        <v>361</v>
      </c>
      <c r="C272" s="36" t="s">
        <v>206</v>
      </c>
      <c r="D272" s="36" t="s">
        <v>283</v>
      </c>
      <c r="E272" s="44" t="s">
        <v>370</v>
      </c>
      <c r="F272" s="36" t="s">
        <v>196</v>
      </c>
      <c r="G272" s="37">
        <f t="shared" si="79"/>
        <v>3086.24</v>
      </c>
      <c r="H272" s="37">
        <f t="shared" si="79"/>
        <v>1000</v>
      </c>
      <c r="I272" s="37">
        <f t="shared" si="79"/>
        <v>1000</v>
      </c>
    </row>
    <row r="273" spans="1:9" x14ac:dyDescent="0.2">
      <c r="A273" s="68" t="s">
        <v>197</v>
      </c>
      <c r="B273" s="36" t="s">
        <v>361</v>
      </c>
      <c r="C273" s="36" t="s">
        <v>206</v>
      </c>
      <c r="D273" s="36" t="s">
        <v>283</v>
      </c>
      <c r="E273" s="44" t="s">
        <v>370</v>
      </c>
      <c r="F273" s="36" t="s">
        <v>198</v>
      </c>
      <c r="G273" s="37">
        <f>2000+500+500+86.24</f>
        <v>3086.24</v>
      </c>
      <c r="H273" s="37">
        <f>2000-1000</f>
        <v>1000</v>
      </c>
      <c r="I273" s="37">
        <f>2000-1000</f>
        <v>1000</v>
      </c>
    </row>
    <row r="274" spans="1:9" ht="31.5" x14ac:dyDescent="0.2">
      <c r="A274" s="200" t="s">
        <v>371</v>
      </c>
      <c r="B274" s="34" t="s">
        <v>357</v>
      </c>
      <c r="C274" s="205"/>
      <c r="D274" s="205"/>
      <c r="E274" s="34"/>
      <c r="F274" s="34"/>
      <c r="G274" s="201">
        <f>G275+G296+G303</f>
        <v>18410.609360000002</v>
      </c>
      <c r="H274" s="201">
        <f>H275+H296+H303</f>
        <v>13260.800000000001</v>
      </c>
      <c r="I274" s="201">
        <f>I275+I296+I303</f>
        <v>13260.800000000001</v>
      </c>
    </row>
    <row r="275" spans="1:9" x14ac:dyDescent="0.2">
      <c r="A275" s="29" t="s">
        <v>172</v>
      </c>
      <c r="B275" s="30" t="s">
        <v>357</v>
      </c>
      <c r="C275" s="30" t="s">
        <v>173</v>
      </c>
      <c r="D275" s="30" t="s">
        <v>174</v>
      </c>
      <c r="E275" s="30"/>
      <c r="F275" s="30"/>
      <c r="G275" s="31">
        <f>G276+G290</f>
        <v>14507.169360000002</v>
      </c>
      <c r="H275" s="31">
        <f>H276+H290</f>
        <v>12143.6</v>
      </c>
      <c r="I275" s="31">
        <f>I276+I290</f>
        <v>12143.6</v>
      </c>
    </row>
    <row r="276" spans="1:9" ht="24" x14ac:dyDescent="0.2">
      <c r="A276" s="29" t="s">
        <v>175</v>
      </c>
      <c r="B276" s="30" t="s">
        <v>357</v>
      </c>
      <c r="C276" s="30" t="s">
        <v>173</v>
      </c>
      <c r="D276" s="30" t="s">
        <v>177</v>
      </c>
      <c r="E276" s="30"/>
      <c r="F276" s="30"/>
      <c r="G276" s="31">
        <f>G277</f>
        <v>14007.169360000002</v>
      </c>
      <c r="H276" s="31">
        <f t="shared" ref="H276:I277" si="80">H277</f>
        <v>11643.6</v>
      </c>
      <c r="I276" s="31">
        <f t="shared" si="80"/>
        <v>11643.6</v>
      </c>
    </row>
    <row r="277" spans="1:9" x14ac:dyDescent="0.2">
      <c r="A277" s="39" t="s">
        <v>178</v>
      </c>
      <c r="B277" s="40" t="s">
        <v>357</v>
      </c>
      <c r="C277" s="40" t="s">
        <v>173</v>
      </c>
      <c r="D277" s="40" t="s">
        <v>177</v>
      </c>
      <c r="E277" s="40" t="s">
        <v>189</v>
      </c>
      <c r="F277" s="40"/>
      <c r="G277" s="41">
        <f>G278</f>
        <v>14007.169360000002</v>
      </c>
      <c r="H277" s="41">
        <f t="shared" si="80"/>
        <v>11643.6</v>
      </c>
      <c r="I277" s="41">
        <f t="shared" si="80"/>
        <v>11643.6</v>
      </c>
    </row>
    <row r="278" spans="1:9" x14ac:dyDescent="0.2">
      <c r="A278" s="29" t="s">
        <v>180</v>
      </c>
      <c r="B278" s="30" t="s">
        <v>357</v>
      </c>
      <c r="C278" s="30" t="s">
        <v>173</v>
      </c>
      <c r="D278" s="30" t="s">
        <v>177</v>
      </c>
      <c r="E278" s="30" t="s">
        <v>190</v>
      </c>
      <c r="F278" s="30"/>
      <c r="G278" s="31">
        <f>G279+G282+G287</f>
        <v>14007.169360000002</v>
      </c>
      <c r="H278" s="31">
        <f>H279+H282+H287</f>
        <v>11643.6</v>
      </c>
      <c r="I278" s="31">
        <f>I279+I282+I287</f>
        <v>11643.6</v>
      </c>
    </row>
    <row r="279" spans="1:9" x14ac:dyDescent="0.2">
      <c r="A279" s="29" t="s">
        <v>183</v>
      </c>
      <c r="B279" s="30" t="s">
        <v>357</v>
      </c>
      <c r="C279" s="30" t="s">
        <v>173</v>
      </c>
      <c r="D279" s="30" t="s">
        <v>177</v>
      </c>
      <c r="E279" s="30" t="s">
        <v>192</v>
      </c>
      <c r="F279" s="30"/>
      <c r="G279" s="31">
        <f>G280</f>
        <v>11300.798000000001</v>
      </c>
      <c r="H279" s="31">
        <f t="shared" ref="H279:I279" si="81">H280</f>
        <v>9267.5</v>
      </c>
      <c r="I279" s="31">
        <f t="shared" si="81"/>
        <v>9267.5</v>
      </c>
    </row>
    <row r="280" spans="1:9" ht="24" x14ac:dyDescent="0.2">
      <c r="A280" s="35" t="s">
        <v>185</v>
      </c>
      <c r="B280" s="36" t="s">
        <v>357</v>
      </c>
      <c r="C280" s="36" t="s">
        <v>173</v>
      </c>
      <c r="D280" s="36" t="s">
        <v>177</v>
      </c>
      <c r="E280" s="36" t="s">
        <v>192</v>
      </c>
      <c r="F280" s="36" t="s">
        <v>186</v>
      </c>
      <c r="G280" s="37">
        <f t="shared" ref="G280:I280" si="82">G281</f>
        <v>11300.798000000001</v>
      </c>
      <c r="H280" s="37">
        <f t="shared" si="82"/>
        <v>9267.5</v>
      </c>
      <c r="I280" s="37">
        <f t="shared" si="82"/>
        <v>9267.5</v>
      </c>
    </row>
    <row r="281" spans="1:9" x14ac:dyDescent="0.2">
      <c r="A281" s="35" t="s">
        <v>187</v>
      </c>
      <c r="B281" s="36" t="s">
        <v>357</v>
      </c>
      <c r="C281" s="36" t="s">
        <v>173</v>
      </c>
      <c r="D281" s="36" t="s">
        <v>177</v>
      </c>
      <c r="E281" s="36" t="s">
        <v>192</v>
      </c>
      <c r="F281" s="36" t="s">
        <v>188</v>
      </c>
      <c r="G281" s="37">
        <f>9267.5+2033.298</f>
        <v>11300.798000000001</v>
      </c>
      <c r="H281" s="37">
        <v>9267.5</v>
      </c>
      <c r="I281" s="37">
        <v>9267.5</v>
      </c>
    </row>
    <row r="282" spans="1:9" x14ac:dyDescent="0.2">
      <c r="A282" s="29" t="s">
        <v>193</v>
      </c>
      <c r="B282" s="30" t="s">
        <v>357</v>
      </c>
      <c r="C282" s="30" t="s">
        <v>173</v>
      </c>
      <c r="D282" s="30" t="s">
        <v>177</v>
      </c>
      <c r="E282" s="30" t="s">
        <v>194</v>
      </c>
      <c r="F282" s="30"/>
      <c r="G282" s="31">
        <f>G283+G285</f>
        <v>2376.1</v>
      </c>
      <c r="H282" s="31">
        <f>H283+H285</f>
        <v>2376.1</v>
      </c>
      <c r="I282" s="31">
        <f>I283+I285</f>
        <v>2376.1</v>
      </c>
    </row>
    <row r="283" spans="1:9" x14ac:dyDescent="0.2">
      <c r="A283" s="35" t="s">
        <v>195</v>
      </c>
      <c r="B283" s="36" t="s">
        <v>357</v>
      </c>
      <c r="C283" s="36" t="s">
        <v>173</v>
      </c>
      <c r="D283" s="36" t="s">
        <v>177</v>
      </c>
      <c r="E283" s="36" t="s">
        <v>194</v>
      </c>
      <c r="F283" s="36" t="s">
        <v>196</v>
      </c>
      <c r="G283" s="37">
        <f>G284</f>
        <v>2263.1</v>
      </c>
      <c r="H283" s="37">
        <f>H284</f>
        <v>2263.1</v>
      </c>
      <c r="I283" s="37">
        <f>I284</f>
        <v>2263.1</v>
      </c>
    </row>
    <row r="284" spans="1:9" x14ac:dyDescent="0.2">
      <c r="A284" s="35" t="s">
        <v>197</v>
      </c>
      <c r="B284" s="36" t="s">
        <v>357</v>
      </c>
      <c r="C284" s="36" t="s">
        <v>173</v>
      </c>
      <c r="D284" s="36" t="s">
        <v>177</v>
      </c>
      <c r="E284" s="36" t="s">
        <v>194</v>
      </c>
      <c r="F284" s="36" t="s">
        <v>198</v>
      </c>
      <c r="G284" s="37">
        <v>2263.1</v>
      </c>
      <c r="H284" s="37">
        <v>2263.1</v>
      </c>
      <c r="I284" s="37">
        <v>2263.1</v>
      </c>
    </row>
    <row r="285" spans="1:9" x14ac:dyDescent="0.2">
      <c r="A285" s="35" t="s">
        <v>199</v>
      </c>
      <c r="B285" s="36" t="s">
        <v>357</v>
      </c>
      <c r="C285" s="36" t="s">
        <v>173</v>
      </c>
      <c r="D285" s="36" t="s">
        <v>177</v>
      </c>
      <c r="E285" s="36" t="s">
        <v>194</v>
      </c>
      <c r="F285" s="36" t="s">
        <v>200</v>
      </c>
      <c r="G285" s="37">
        <f>G286</f>
        <v>113</v>
      </c>
      <c r="H285" s="37">
        <f>H286</f>
        <v>113</v>
      </c>
      <c r="I285" s="37">
        <f>I286</f>
        <v>113</v>
      </c>
    </row>
    <row r="286" spans="1:9" x14ac:dyDescent="0.2">
      <c r="A286" s="35" t="s">
        <v>201</v>
      </c>
      <c r="B286" s="36" t="s">
        <v>357</v>
      </c>
      <c r="C286" s="36" t="s">
        <v>173</v>
      </c>
      <c r="D286" s="36" t="s">
        <v>177</v>
      </c>
      <c r="E286" s="36" t="s">
        <v>194</v>
      </c>
      <c r="F286" s="36" t="s">
        <v>202</v>
      </c>
      <c r="G286" s="37">
        <v>113</v>
      </c>
      <c r="H286" s="37">
        <v>113</v>
      </c>
      <c r="I286" s="37">
        <v>113</v>
      </c>
    </row>
    <row r="287" spans="1:9" x14ac:dyDescent="0.2">
      <c r="A287" s="29" t="s">
        <v>203</v>
      </c>
      <c r="B287" s="30" t="s">
        <v>357</v>
      </c>
      <c r="C287" s="30" t="s">
        <v>173</v>
      </c>
      <c r="D287" s="30" t="s">
        <v>177</v>
      </c>
      <c r="E287" s="30" t="s">
        <v>204</v>
      </c>
      <c r="F287" s="30"/>
      <c r="G287" s="45">
        <f t="shared" ref="G287:H288" si="83">G288</f>
        <v>330.27136000000002</v>
      </c>
      <c r="H287" s="239">
        <f t="shared" si="83"/>
        <v>0</v>
      </c>
      <c r="I287" s="37"/>
    </row>
    <row r="288" spans="1:9" ht="24" x14ac:dyDescent="0.2">
      <c r="A288" s="35" t="s">
        <v>185</v>
      </c>
      <c r="B288" s="36" t="s">
        <v>357</v>
      </c>
      <c r="C288" s="36" t="s">
        <v>173</v>
      </c>
      <c r="D288" s="36" t="s">
        <v>177</v>
      </c>
      <c r="E288" s="36" t="s">
        <v>204</v>
      </c>
      <c r="F288" s="36" t="s">
        <v>186</v>
      </c>
      <c r="G288" s="46">
        <f t="shared" si="83"/>
        <v>330.27136000000002</v>
      </c>
      <c r="H288" s="240">
        <f t="shared" si="83"/>
        <v>0</v>
      </c>
      <c r="I288" s="37"/>
    </row>
    <row r="289" spans="1:9" x14ac:dyDescent="0.2">
      <c r="A289" s="35" t="s">
        <v>187</v>
      </c>
      <c r="B289" s="36" t="s">
        <v>357</v>
      </c>
      <c r="C289" s="36" t="s">
        <v>173</v>
      </c>
      <c r="D289" s="36" t="s">
        <v>177</v>
      </c>
      <c r="E289" s="36" t="s">
        <v>204</v>
      </c>
      <c r="F289" s="36" t="s">
        <v>188</v>
      </c>
      <c r="G289" s="46">
        <v>330.27136000000002</v>
      </c>
      <c r="H289" s="240">
        <v>0</v>
      </c>
      <c r="I289" s="37"/>
    </row>
    <row r="290" spans="1:9" x14ac:dyDescent="0.2">
      <c r="A290" s="57" t="s">
        <v>215</v>
      </c>
      <c r="B290" s="30" t="s">
        <v>357</v>
      </c>
      <c r="C290" s="30" t="s">
        <v>173</v>
      </c>
      <c r="D290" s="30" t="s">
        <v>216</v>
      </c>
      <c r="E290" s="30"/>
      <c r="F290" s="30"/>
      <c r="G290" s="31">
        <f>G291</f>
        <v>500</v>
      </c>
      <c r="H290" s="31">
        <f t="shared" ref="H290:I294" si="84">H291</f>
        <v>500</v>
      </c>
      <c r="I290" s="31">
        <f>I291</f>
        <v>500</v>
      </c>
    </row>
    <row r="291" spans="1:9" x14ac:dyDescent="0.2">
      <c r="A291" s="39" t="s">
        <v>178</v>
      </c>
      <c r="B291" s="40" t="s">
        <v>357</v>
      </c>
      <c r="C291" s="40" t="s">
        <v>173</v>
      </c>
      <c r="D291" s="40" t="s">
        <v>216</v>
      </c>
      <c r="E291" s="40" t="s">
        <v>189</v>
      </c>
      <c r="F291" s="36"/>
      <c r="G291" s="206">
        <f>G292</f>
        <v>500</v>
      </c>
      <c r="H291" s="41">
        <f t="shared" si="84"/>
        <v>500</v>
      </c>
      <c r="I291" s="41">
        <f t="shared" si="84"/>
        <v>500</v>
      </c>
    </row>
    <row r="292" spans="1:9" x14ac:dyDescent="0.2">
      <c r="A292" s="29" t="s">
        <v>180</v>
      </c>
      <c r="B292" s="30" t="s">
        <v>357</v>
      </c>
      <c r="C292" s="30" t="s">
        <v>173</v>
      </c>
      <c r="D292" s="30" t="s">
        <v>216</v>
      </c>
      <c r="E292" s="30" t="s">
        <v>190</v>
      </c>
      <c r="F292" s="36"/>
      <c r="G292" s="58">
        <f>G293</f>
        <v>500</v>
      </c>
      <c r="H292" s="31">
        <f t="shared" si="84"/>
        <v>500</v>
      </c>
      <c r="I292" s="31">
        <f t="shared" si="84"/>
        <v>500</v>
      </c>
    </row>
    <row r="293" spans="1:9" x14ac:dyDescent="0.2">
      <c r="A293" s="29" t="s">
        <v>362</v>
      </c>
      <c r="B293" s="30" t="s">
        <v>357</v>
      </c>
      <c r="C293" s="30" t="s">
        <v>173</v>
      </c>
      <c r="D293" s="30" t="s">
        <v>216</v>
      </c>
      <c r="E293" s="30" t="s">
        <v>363</v>
      </c>
      <c r="F293" s="36"/>
      <c r="G293" s="58">
        <f>G294</f>
        <v>500</v>
      </c>
      <c r="H293" s="31">
        <f t="shared" si="84"/>
        <v>500</v>
      </c>
      <c r="I293" s="31">
        <f t="shared" si="84"/>
        <v>500</v>
      </c>
    </row>
    <row r="294" spans="1:9" ht="24" x14ac:dyDescent="0.2">
      <c r="A294" s="35" t="s">
        <v>185</v>
      </c>
      <c r="B294" s="36" t="s">
        <v>357</v>
      </c>
      <c r="C294" s="36" t="s">
        <v>173</v>
      </c>
      <c r="D294" s="36" t="s">
        <v>216</v>
      </c>
      <c r="E294" s="36" t="s">
        <v>363</v>
      </c>
      <c r="F294" s="36" t="s">
        <v>186</v>
      </c>
      <c r="G294" s="59">
        <f>G295</f>
        <v>500</v>
      </c>
      <c r="H294" s="37">
        <f t="shared" si="84"/>
        <v>500</v>
      </c>
      <c r="I294" s="37">
        <f t="shared" si="84"/>
        <v>500</v>
      </c>
    </row>
    <row r="295" spans="1:9" x14ac:dyDescent="0.2">
      <c r="A295" s="35" t="s">
        <v>187</v>
      </c>
      <c r="B295" s="36" t="s">
        <v>357</v>
      </c>
      <c r="C295" s="36" t="s">
        <v>173</v>
      </c>
      <c r="D295" s="36" t="s">
        <v>216</v>
      </c>
      <c r="E295" s="36" t="s">
        <v>363</v>
      </c>
      <c r="F295" s="36" t="s">
        <v>188</v>
      </c>
      <c r="G295" s="59">
        <v>500</v>
      </c>
      <c r="H295" s="37">
        <v>500</v>
      </c>
      <c r="I295" s="37">
        <v>500</v>
      </c>
    </row>
    <row r="296" spans="1:9" x14ac:dyDescent="0.2">
      <c r="A296" s="29" t="s">
        <v>290</v>
      </c>
      <c r="B296" s="30" t="s">
        <v>357</v>
      </c>
      <c r="C296" s="30" t="s">
        <v>177</v>
      </c>
      <c r="D296" s="30" t="s">
        <v>174</v>
      </c>
      <c r="E296" s="36"/>
      <c r="F296" s="36"/>
      <c r="G296" s="31">
        <f t="shared" ref="G296:I301" si="85">G297</f>
        <v>117.2</v>
      </c>
      <c r="H296" s="58">
        <f t="shared" si="85"/>
        <v>117.2</v>
      </c>
      <c r="I296" s="58">
        <f t="shared" si="85"/>
        <v>117.2</v>
      </c>
    </row>
    <row r="297" spans="1:9" x14ac:dyDescent="0.2">
      <c r="A297" s="29" t="s">
        <v>364</v>
      </c>
      <c r="B297" s="30" t="s">
        <v>357</v>
      </c>
      <c r="C297" s="30" t="s">
        <v>177</v>
      </c>
      <c r="D297" s="30" t="s">
        <v>173</v>
      </c>
      <c r="E297" s="36"/>
      <c r="F297" s="36"/>
      <c r="G297" s="31">
        <f t="shared" si="85"/>
        <v>117.2</v>
      </c>
      <c r="H297" s="58">
        <f t="shared" si="85"/>
        <v>117.2</v>
      </c>
      <c r="I297" s="58">
        <f t="shared" si="85"/>
        <v>117.2</v>
      </c>
    </row>
    <row r="298" spans="1:9" x14ac:dyDescent="0.2">
      <c r="A298" s="39" t="s">
        <v>178</v>
      </c>
      <c r="B298" s="40" t="s">
        <v>357</v>
      </c>
      <c r="C298" s="30" t="s">
        <v>177</v>
      </c>
      <c r="D298" s="30" t="s">
        <v>173</v>
      </c>
      <c r="E298" s="40" t="s">
        <v>189</v>
      </c>
      <c r="F298" s="40"/>
      <c r="G298" s="41">
        <f t="shared" si="85"/>
        <v>117.2</v>
      </c>
      <c r="H298" s="206">
        <f t="shared" si="85"/>
        <v>117.2</v>
      </c>
      <c r="I298" s="206">
        <f t="shared" si="85"/>
        <v>117.2</v>
      </c>
    </row>
    <row r="299" spans="1:9" x14ac:dyDescent="0.2">
      <c r="A299" s="29" t="s">
        <v>180</v>
      </c>
      <c r="B299" s="30" t="s">
        <v>357</v>
      </c>
      <c r="C299" s="30" t="s">
        <v>177</v>
      </c>
      <c r="D299" s="30" t="s">
        <v>173</v>
      </c>
      <c r="E299" s="30" t="s">
        <v>190</v>
      </c>
      <c r="F299" s="30"/>
      <c r="G299" s="31">
        <f t="shared" si="85"/>
        <v>117.2</v>
      </c>
      <c r="H299" s="58">
        <f t="shared" si="85"/>
        <v>117.2</v>
      </c>
      <c r="I299" s="58">
        <f t="shared" si="85"/>
        <v>117.2</v>
      </c>
    </row>
    <row r="300" spans="1:9" x14ac:dyDescent="0.2">
      <c r="A300" s="39" t="s">
        <v>365</v>
      </c>
      <c r="B300" s="40" t="s">
        <v>357</v>
      </c>
      <c r="C300" s="40" t="s">
        <v>177</v>
      </c>
      <c r="D300" s="40" t="s">
        <v>173</v>
      </c>
      <c r="E300" s="40" t="s">
        <v>366</v>
      </c>
      <c r="F300" s="40"/>
      <c r="G300" s="41">
        <f t="shared" si="85"/>
        <v>117.2</v>
      </c>
      <c r="H300" s="206">
        <f t="shared" si="85"/>
        <v>117.2</v>
      </c>
      <c r="I300" s="206">
        <f t="shared" si="85"/>
        <v>117.2</v>
      </c>
    </row>
    <row r="301" spans="1:9" ht="24" x14ac:dyDescent="0.2">
      <c r="A301" s="35" t="s">
        <v>185</v>
      </c>
      <c r="B301" s="36" t="s">
        <v>357</v>
      </c>
      <c r="C301" s="36" t="s">
        <v>177</v>
      </c>
      <c r="D301" s="36" t="s">
        <v>173</v>
      </c>
      <c r="E301" s="36" t="s">
        <v>366</v>
      </c>
      <c r="F301" s="36" t="s">
        <v>186</v>
      </c>
      <c r="G301" s="37">
        <f t="shared" si="85"/>
        <v>117.2</v>
      </c>
      <c r="H301" s="59">
        <f t="shared" si="85"/>
        <v>117.2</v>
      </c>
      <c r="I301" s="59">
        <f t="shared" si="85"/>
        <v>117.2</v>
      </c>
    </row>
    <row r="302" spans="1:9" x14ac:dyDescent="0.2">
      <c r="A302" s="35" t="s">
        <v>187</v>
      </c>
      <c r="B302" s="36" t="s">
        <v>357</v>
      </c>
      <c r="C302" s="36" t="s">
        <v>177</v>
      </c>
      <c r="D302" s="36" t="s">
        <v>173</v>
      </c>
      <c r="E302" s="36" t="s">
        <v>366</v>
      </c>
      <c r="F302" s="36" t="s">
        <v>188</v>
      </c>
      <c r="G302" s="37">
        <v>117.2</v>
      </c>
      <c r="H302" s="37">
        <v>117.2</v>
      </c>
      <c r="I302" s="37">
        <v>117.2</v>
      </c>
    </row>
    <row r="303" spans="1:9" x14ac:dyDescent="0.2">
      <c r="A303" s="29" t="s">
        <v>367</v>
      </c>
      <c r="B303" s="30" t="s">
        <v>357</v>
      </c>
      <c r="C303" s="30" t="s">
        <v>206</v>
      </c>
      <c r="D303" s="30" t="s">
        <v>174</v>
      </c>
      <c r="E303" s="36"/>
      <c r="F303" s="36"/>
      <c r="G303" s="31">
        <f t="shared" ref="G303:I308" si="86">G304</f>
        <v>3786.24</v>
      </c>
      <c r="H303" s="31">
        <f t="shared" si="86"/>
        <v>1000</v>
      </c>
      <c r="I303" s="31">
        <f t="shared" si="86"/>
        <v>1000</v>
      </c>
    </row>
    <row r="304" spans="1:9" x14ac:dyDescent="0.2">
      <c r="A304" s="29" t="s">
        <v>368</v>
      </c>
      <c r="B304" s="30" t="s">
        <v>357</v>
      </c>
      <c r="C304" s="30" t="s">
        <v>206</v>
      </c>
      <c r="D304" s="30" t="s">
        <v>283</v>
      </c>
      <c r="E304" s="40"/>
      <c r="F304" s="40"/>
      <c r="G304" s="31">
        <f t="shared" si="86"/>
        <v>3786.24</v>
      </c>
      <c r="H304" s="31">
        <f t="shared" si="86"/>
        <v>1000</v>
      </c>
      <c r="I304" s="31">
        <f t="shared" si="86"/>
        <v>1000</v>
      </c>
    </row>
    <row r="305" spans="1:9" x14ac:dyDescent="0.2">
      <c r="A305" s="39" t="s">
        <v>178</v>
      </c>
      <c r="B305" s="40" t="s">
        <v>357</v>
      </c>
      <c r="C305" s="40" t="s">
        <v>206</v>
      </c>
      <c r="D305" s="40" t="s">
        <v>283</v>
      </c>
      <c r="E305" s="40" t="s">
        <v>189</v>
      </c>
      <c r="F305" s="40"/>
      <c r="G305" s="41">
        <f t="shared" si="86"/>
        <v>3786.24</v>
      </c>
      <c r="H305" s="41">
        <f t="shared" si="86"/>
        <v>1000</v>
      </c>
      <c r="I305" s="41">
        <f t="shared" si="86"/>
        <v>1000</v>
      </c>
    </row>
    <row r="306" spans="1:9" x14ac:dyDescent="0.2">
      <c r="A306" s="29" t="s">
        <v>180</v>
      </c>
      <c r="B306" s="30" t="s">
        <v>357</v>
      </c>
      <c r="C306" s="30" t="s">
        <v>206</v>
      </c>
      <c r="D306" s="30" t="s">
        <v>283</v>
      </c>
      <c r="E306" s="30" t="s">
        <v>190</v>
      </c>
      <c r="F306" s="30"/>
      <c r="G306" s="31">
        <f t="shared" si="86"/>
        <v>3786.24</v>
      </c>
      <c r="H306" s="31">
        <f t="shared" si="86"/>
        <v>1000</v>
      </c>
      <c r="I306" s="31">
        <f t="shared" si="86"/>
        <v>1000</v>
      </c>
    </row>
    <row r="307" spans="1:9" x14ac:dyDescent="0.2">
      <c r="A307" s="29" t="s">
        <v>369</v>
      </c>
      <c r="B307" s="30" t="s">
        <v>357</v>
      </c>
      <c r="C307" s="30" t="s">
        <v>206</v>
      </c>
      <c r="D307" s="30" t="s">
        <v>283</v>
      </c>
      <c r="E307" s="51" t="s">
        <v>370</v>
      </c>
      <c r="F307" s="30"/>
      <c r="G307" s="31">
        <f t="shared" si="86"/>
        <v>3786.24</v>
      </c>
      <c r="H307" s="31">
        <f t="shared" si="86"/>
        <v>1000</v>
      </c>
      <c r="I307" s="31">
        <f t="shared" si="86"/>
        <v>1000</v>
      </c>
    </row>
    <row r="308" spans="1:9" x14ac:dyDescent="0.2">
      <c r="A308" s="68" t="s">
        <v>195</v>
      </c>
      <c r="B308" s="36" t="s">
        <v>357</v>
      </c>
      <c r="C308" s="36" t="s">
        <v>206</v>
      </c>
      <c r="D308" s="36" t="s">
        <v>283</v>
      </c>
      <c r="E308" s="44" t="s">
        <v>370</v>
      </c>
      <c r="F308" s="36" t="s">
        <v>196</v>
      </c>
      <c r="G308" s="37">
        <f t="shared" si="86"/>
        <v>3786.24</v>
      </c>
      <c r="H308" s="37">
        <f t="shared" si="86"/>
        <v>1000</v>
      </c>
      <c r="I308" s="37">
        <f t="shared" si="86"/>
        <v>1000</v>
      </c>
    </row>
    <row r="309" spans="1:9" x14ac:dyDescent="0.2">
      <c r="A309" s="68" t="s">
        <v>197</v>
      </c>
      <c r="B309" s="36" t="s">
        <v>357</v>
      </c>
      <c r="C309" s="36" t="s">
        <v>206</v>
      </c>
      <c r="D309" s="36" t="s">
        <v>283</v>
      </c>
      <c r="E309" s="44" t="s">
        <v>370</v>
      </c>
      <c r="F309" s="36" t="s">
        <v>198</v>
      </c>
      <c r="G309" s="37">
        <f>2000+500+500+86.24+700</f>
        <v>3786.24</v>
      </c>
      <c r="H309" s="37">
        <f>2000-1000</f>
        <v>1000</v>
      </c>
      <c r="I309" s="37">
        <f>2000-1000</f>
        <v>1000</v>
      </c>
    </row>
    <row r="310" spans="1:9" ht="31.5" x14ac:dyDescent="0.2">
      <c r="A310" s="200" t="s">
        <v>372</v>
      </c>
      <c r="B310" s="207" t="s">
        <v>373</v>
      </c>
      <c r="C310" s="205"/>
      <c r="D310" s="205"/>
      <c r="E310" s="34"/>
      <c r="F310" s="34"/>
      <c r="G310" s="201">
        <f>G311+G318</f>
        <v>67863.052909999999</v>
      </c>
      <c r="H310" s="201">
        <f>H311+H318</f>
        <v>45153.700000000004</v>
      </c>
      <c r="I310" s="201">
        <f>I311+I318</f>
        <v>45153.700000000004</v>
      </c>
    </row>
    <row r="311" spans="1:9" x14ac:dyDescent="0.2">
      <c r="A311" s="57" t="s">
        <v>374</v>
      </c>
      <c r="B311" s="30" t="s">
        <v>373</v>
      </c>
      <c r="C311" s="30" t="s">
        <v>375</v>
      </c>
      <c r="D311" s="30" t="s">
        <v>174</v>
      </c>
      <c r="E311" s="36"/>
      <c r="F311" s="36"/>
      <c r="G311" s="31">
        <f t="shared" ref="G311:I316" si="87">G312</f>
        <v>3295</v>
      </c>
      <c r="H311" s="31">
        <f t="shared" si="87"/>
        <v>2000</v>
      </c>
      <c r="I311" s="31">
        <f t="shared" si="87"/>
        <v>2000</v>
      </c>
    </row>
    <row r="312" spans="1:9" x14ac:dyDescent="0.2">
      <c r="A312" s="29" t="s">
        <v>376</v>
      </c>
      <c r="B312" s="30" t="s">
        <v>373</v>
      </c>
      <c r="C312" s="30" t="s">
        <v>375</v>
      </c>
      <c r="D312" s="30" t="s">
        <v>375</v>
      </c>
      <c r="E312" s="36"/>
      <c r="F312" s="36"/>
      <c r="G312" s="31">
        <f t="shared" si="87"/>
        <v>3295</v>
      </c>
      <c r="H312" s="31">
        <f t="shared" si="87"/>
        <v>2000</v>
      </c>
      <c r="I312" s="31">
        <f t="shared" si="87"/>
        <v>2000</v>
      </c>
    </row>
    <row r="313" spans="1:9" ht="15.75" customHeight="1" x14ac:dyDescent="0.2">
      <c r="A313" s="39" t="s">
        <v>377</v>
      </c>
      <c r="B313" s="40" t="s">
        <v>373</v>
      </c>
      <c r="C313" s="40" t="s">
        <v>375</v>
      </c>
      <c r="D313" s="40" t="s">
        <v>375</v>
      </c>
      <c r="E313" s="40" t="s">
        <v>378</v>
      </c>
      <c r="F313" s="40"/>
      <c r="G313" s="41">
        <f t="shared" si="87"/>
        <v>3295</v>
      </c>
      <c r="H313" s="41">
        <f t="shared" si="87"/>
        <v>2000</v>
      </c>
      <c r="I313" s="41">
        <f t="shared" si="87"/>
        <v>2000</v>
      </c>
    </row>
    <row r="314" spans="1:9" x14ac:dyDescent="0.2">
      <c r="A314" s="50" t="s">
        <v>379</v>
      </c>
      <c r="B314" s="30" t="s">
        <v>373</v>
      </c>
      <c r="C314" s="30" t="s">
        <v>375</v>
      </c>
      <c r="D314" s="30" t="s">
        <v>375</v>
      </c>
      <c r="E314" s="30" t="s">
        <v>380</v>
      </c>
      <c r="F314" s="30"/>
      <c r="G314" s="31">
        <f t="shared" si="87"/>
        <v>3295</v>
      </c>
      <c r="H314" s="31">
        <f t="shared" si="87"/>
        <v>2000</v>
      </c>
      <c r="I314" s="31">
        <f t="shared" si="87"/>
        <v>2000</v>
      </c>
    </row>
    <row r="315" spans="1:9" x14ac:dyDescent="0.2">
      <c r="A315" s="39" t="s">
        <v>381</v>
      </c>
      <c r="B315" s="40" t="s">
        <v>373</v>
      </c>
      <c r="C315" s="40" t="s">
        <v>375</v>
      </c>
      <c r="D315" s="40" t="s">
        <v>375</v>
      </c>
      <c r="E315" s="40" t="s">
        <v>382</v>
      </c>
      <c r="F315" s="40"/>
      <c r="G315" s="41">
        <f t="shared" si="87"/>
        <v>3295</v>
      </c>
      <c r="H315" s="41">
        <f>H316</f>
        <v>2000</v>
      </c>
      <c r="I315" s="41">
        <f t="shared" si="87"/>
        <v>2000</v>
      </c>
    </row>
    <row r="316" spans="1:9" x14ac:dyDescent="0.2">
      <c r="A316" s="35" t="s">
        <v>356</v>
      </c>
      <c r="B316" s="36" t="s">
        <v>373</v>
      </c>
      <c r="C316" s="36" t="s">
        <v>375</v>
      </c>
      <c r="D316" s="36" t="s">
        <v>375</v>
      </c>
      <c r="E316" s="36" t="s">
        <v>382</v>
      </c>
      <c r="F316" s="36" t="s">
        <v>357</v>
      </c>
      <c r="G316" s="37">
        <f t="shared" si="87"/>
        <v>3295</v>
      </c>
      <c r="H316" s="37">
        <f t="shared" si="87"/>
        <v>2000</v>
      </c>
      <c r="I316" s="37">
        <f t="shared" si="87"/>
        <v>2000</v>
      </c>
    </row>
    <row r="317" spans="1:9" x14ac:dyDescent="0.2">
      <c r="A317" s="35" t="s">
        <v>383</v>
      </c>
      <c r="B317" s="36" t="s">
        <v>373</v>
      </c>
      <c r="C317" s="36" t="s">
        <v>375</v>
      </c>
      <c r="D317" s="36" t="s">
        <v>375</v>
      </c>
      <c r="E317" s="36" t="s">
        <v>382</v>
      </c>
      <c r="F317" s="36" t="s">
        <v>384</v>
      </c>
      <c r="G317" s="37">
        <f>3000+295</f>
        <v>3295</v>
      </c>
      <c r="H317" s="37">
        <f>3000-1000</f>
        <v>2000</v>
      </c>
      <c r="I317" s="37">
        <f>3000-1000</f>
        <v>2000</v>
      </c>
    </row>
    <row r="318" spans="1:9" ht="15.75" x14ac:dyDescent="0.2">
      <c r="A318" s="29" t="s">
        <v>385</v>
      </c>
      <c r="B318" s="30" t="s">
        <v>373</v>
      </c>
      <c r="C318" s="30" t="s">
        <v>210</v>
      </c>
      <c r="D318" s="30" t="s">
        <v>174</v>
      </c>
      <c r="E318" s="34"/>
      <c r="F318" s="34"/>
      <c r="G318" s="31">
        <f>G319+G330</f>
        <v>64568.052909999999</v>
      </c>
      <c r="H318" s="31">
        <f>H319+H330</f>
        <v>43153.700000000004</v>
      </c>
      <c r="I318" s="31">
        <f>I319+I330</f>
        <v>43153.700000000004</v>
      </c>
    </row>
    <row r="319" spans="1:9" ht="15.75" x14ac:dyDescent="0.2">
      <c r="A319" s="29" t="s">
        <v>386</v>
      </c>
      <c r="B319" s="30" t="s">
        <v>373</v>
      </c>
      <c r="C319" s="30" t="s">
        <v>210</v>
      </c>
      <c r="D319" s="30" t="s">
        <v>173</v>
      </c>
      <c r="E319" s="34"/>
      <c r="F319" s="34"/>
      <c r="G319" s="208">
        <f>G320</f>
        <v>57239.1</v>
      </c>
      <c r="H319" s="208">
        <f>H320</f>
        <v>37681.4</v>
      </c>
      <c r="I319" s="208">
        <f>I320</f>
        <v>37681.4</v>
      </c>
    </row>
    <row r="320" spans="1:9" ht="13.5" customHeight="1" x14ac:dyDescent="0.2">
      <c r="A320" s="39" t="s">
        <v>377</v>
      </c>
      <c r="B320" s="40" t="s">
        <v>373</v>
      </c>
      <c r="C320" s="40" t="s">
        <v>210</v>
      </c>
      <c r="D320" s="40" t="s">
        <v>173</v>
      </c>
      <c r="E320" s="40" t="s">
        <v>378</v>
      </c>
      <c r="F320" s="40"/>
      <c r="G320" s="41">
        <f>G321+G325</f>
        <v>57239.1</v>
      </c>
      <c r="H320" s="41">
        <f>H321+H325</f>
        <v>37681.4</v>
      </c>
      <c r="I320" s="41">
        <f>I321+I325</f>
        <v>37681.4</v>
      </c>
    </row>
    <row r="321" spans="1:9" ht="15.75" customHeight="1" x14ac:dyDescent="0.2">
      <c r="A321" s="29" t="s">
        <v>387</v>
      </c>
      <c r="B321" s="30" t="s">
        <v>373</v>
      </c>
      <c r="C321" s="30" t="s">
        <v>210</v>
      </c>
      <c r="D321" s="30" t="s">
        <v>173</v>
      </c>
      <c r="E321" s="30" t="s">
        <v>388</v>
      </c>
      <c r="F321" s="34"/>
      <c r="G321" s="31">
        <f t="shared" ref="G321:I323" si="88">G322</f>
        <v>5700</v>
      </c>
      <c r="H321" s="31">
        <f t="shared" si="88"/>
        <v>2000</v>
      </c>
      <c r="I321" s="31">
        <f t="shared" si="88"/>
        <v>2000</v>
      </c>
    </row>
    <row r="322" spans="1:9" ht="24" x14ac:dyDescent="0.2">
      <c r="A322" s="39" t="s">
        <v>389</v>
      </c>
      <c r="B322" s="40" t="s">
        <v>373</v>
      </c>
      <c r="C322" s="40" t="s">
        <v>210</v>
      </c>
      <c r="D322" s="40" t="s">
        <v>173</v>
      </c>
      <c r="E322" s="40" t="s">
        <v>390</v>
      </c>
      <c r="F322" s="40"/>
      <c r="G322" s="41">
        <f t="shared" si="88"/>
        <v>5700</v>
      </c>
      <c r="H322" s="41">
        <f t="shared" si="88"/>
        <v>2000</v>
      </c>
      <c r="I322" s="41">
        <f t="shared" si="88"/>
        <v>2000</v>
      </c>
    </row>
    <row r="323" spans="1:9" x14ac:dyDescent="0.2">
      <c r="A323" s="35" t="s">
        <v>356</v>
      </c>
      <c r="B323" s="36" t="s">
        <v>373</v>
      </c>
      <c r="C323" s="36" t="s">
        <v>210</v>
      </c>
      <c r="D323" s="36" t="s">
        <v>173</v>
      </c>
      <c r="E323" s="36" t="s">
        <v>390</v>
      </c>
      <c r="F323" s="36" t="s">
        <v>357</v>
      </c>
      <c r="G323" s="37">
        <f t="shared" si="88"/>
        <v>5700</v>
      </c>
      <c r="H323" s="37">
        <f t="shared" si="88"/>
        <v>2000</v>
      </c>
      <c r="I323" s="37">
        <f t="shared" si="88"/>
        <v>2000</v>
      </c>
    </row>
    <row r="324" spans="1:9" x14ac:dyDescent="0.2">
      <c r="A324" s="35" t="s">
        <v>383</v>
      </c>
      <c r="B324" s="36" t="s">
        <v>373</v>
      </c>
      <c r="C324" s="36" t="s">
        <v>210</v>
      </c>
      <c r="D324" s="36" t="s">
        <v>173</v>
      </c>
      <c r="E324" s="36" t="s">
        <v>390</v>
      </c>
      <c r="F324" s="36" t="s">
        <v>384</v>
      </c>
      <c r="G324" s="37">
        <f>4000+1500+200</f>
        <v>5700</v>
      </c>
      <c r="H324" s="37">
        <f>4000-2000</f>
        <v>2000</v>
      </c>
      <c r="I324" s="37">
        <f>4000-2000</f>
        <v>2000</v>
      </c>
    </row>
    <row r="325" spans="1:9" ht="24" x14ac:dyDescent="0.2">
      <c r="A325" s="50" t="s">
        <v>391</v>
      </c>
      <c r="B325" s="30" t="s">
        <v>373</v>
      </c>
      <c r="C325" s="30" t="s">
        <v>210</v>
      </c>
      <c r="D325" s="30" t="s">
        <v>173</v>
      </c>
      <c r="E325" s="30" t="s">
        <v>392</v>
      </c>
      <c r="F325" s="30"/>
      <c r="G325" s="31">
        <f t="shared" ref="G325:I328" si="89">G326</f>
        <v>51539.1</v>
      </c>
      <c r="H325" s="31">
        <f t="shared" si="89"/>
        <v>35681.4</v>
      </c>
      <c r="I325" s="31">
        <f t="shared" si="89"/>
        <v>35681.4</v>
      </c>
    </row>
    <row r="326" spans="1:9" x14ac:dyDescent="0.2">
      <c r="A326" s="50" t="s">
        <v>393</v>
      </c>
      <c r="B326" s="30" t="s">
        <v>373</v>
      </c>
      <c r="C326" s="30" t="s">
        <v>210</v>
      </c>
      <c r="D326" s="30" t="s">
        <v>173</v>
      </c>
      <c r="E326" s="30" t="s">
        <v>394</v>
      </c>
      <c r="F326" s="30"/>
      <c r="G326" s="31">
        <f t="shared" si="89"/>
        <v>51539.1</v>
      </c>
      <c r="H326" s="31">
        <f t="shared" si="89"/>
        <v>35681.4</v>
      </c>
      <c r="I326" s="31">
        <f t="shared" si="89"/>
        <v>35681.4</v>
      </c>
    </row>
    <row r="327" spans="1:9" ht="24" x14ac:dyDescent="0.2">
      <c r="A327" s="60" t="s">
        <v>395</v>
      </c>
      <c r="B327" s="49" t="s">
        <v>373</v>
      </c>
      <c r="C327" s="49" t="s">
        <v>210</v>
      </c>
      <c r="D327" s="49" t="s">
        <v>173</v>
      </c>
      <c r="E327" s="49" t="s">
        <v>394</v>
      </c>
      <c r="F327" s="49"/>
      <c r="G327" s="53">
        <f t="shared" si="89"/>
        <v>51539.1</v>
      </c>
      <c r="H327" s="53">
        <f t="shared" si="89"/>
        <v>35681.4</v>
      </c>
      <c r="I327" s="53">
        <f t="shared" si="89"/>
        <v>35681.4</v>
      </c>
    </row>
    <row r="328" spans="1:9" x14ac:dyDescent="0.2">
      <c r="A328" s="35" t="s">
        <v>356</v>
      </c>
      <c r="B328" s="36" t="s">
        <v>373</v>
      </c>
      <c r="C328" s="36" t="s">
        <v>210</v>
      </c>
      <c r="D328" s="36" t="s">
        <v>173</v>
      </c>
      <c r="E328" s="36" t="s">
        <v>394</v>
      </c>
      <c r="F328" s="36" t="s">
        <v>357</v>
      </c>
      <c r="G328" s="37">
        <f t="shared" si="89"/>
        <v>51539.1</v>
      </c>
      <c r="H328" s="37">
        <f t="shared" si="89"/>
        <v>35681.4</v>
      </c>
      <c r="I328" s="37">
        <f t="shared" si="89"/>
        <v>35681.4</v>
      </c>
    </row>
    <row r="329" spans="1:9" x14ac:dyDescent="0.2">
      <c r="A329" s="35" t="s">
        <v>383</v>
      </c>
      <c r="B329" s="36" t="s">
        <v>373</v>
      </c>
      <c r="C329" s="36" t="s">
        <v>210</v>
      </c>
      <c r="D329" s="36" t="s">
        <v>173</v>
      </c>
      <c r="E329" s="36" t="s">
        <v>394</v>
      </c>
      <c r="F329" s="36" t="s">
        <v>384</v>
      </c>
      <c r="G329" s="37">
        <f>28781+6900.4+750+300+3000+157.7+1650+10000</f>
        <v>51539.1</v>
      </c>
      <c r="H329" s="37">
        <f t="shared" ref="H329:I329" si="90">28781+6900.4</f>
        <v>35681.4</v>
      </c>
      <c r="I329" s="37">
        <f t="shared" si="90"/>
        <v>35681.4</v>
      </c>
    </row>
    <row r="330" spans="1:9" x14ac:dyDescent="0.2">
      <c r="A330" s="29" t="s">
        <v>396</v>
      </c>
      <c r="B330" s="30" t="s">
        <v>373</v>
      </c>
      <c r="C330" s="30" t="s">
        <v>210</v>
      </c>
      <c r="D330" s="30" t="s">
        <v>206</v>
      </c>
      <c r="E330" s="30"/>
      <c r="F330" s="30"/>
      <c r="G330" s="31">
        <f>G331+G342</f>
        <v>7328.95291</v>
      </c>
      <c r="H330" s="31">
        <f>H331+H342</f>
        <v>5472.3</v>
      </c>
      <c r="I330" s="31">
        <f>I331+I342</f>
        <v>5472.3</v>
      </c>
    </row>
    <row r="331" spans="1:9" ht="24" x14ac:dyDescent="0.2">
      <c r="A331" s="39" t="s">
        <v>377</v>
      </c>
      <c r="B331" s="40" t="s">
        <v>373</v>
      </c>
      <c r="C331" s="40" t="s">
        <v>210</v>
      </c>
      <c r="D331" s="40" t="s">
        <v>206</v>
      </c>
      <c r="E331" s="40" t="s">
        <v>378</v>
      </c>
      <c r="F331" s="30"/>
      <c r="G331" s="41">
        <f t="shared" ref="G331:I331" si="91">G332</f>
        <v>7108.7719999999999</v>
      </c>
      <c r="H331" s="41">
        <f t="shared" si="91"/>
        <v>5472.3</v>
      </c>
      <c r="I331" s="41">
        <f t="shared" si="91"/>
        <v>5472.3</v>
      </c>
    </row>
    <row r="332" spans="1:9" x14ac:dyDescent="0.2">
      <c r="A332" s="29" t="s">
        <v>397</v>
      </c>
      <c r="B332" s="30" t="s">
        <v>373</v>
      </c>
      <c r="C332" s="30" t="s">
        <v>210</v>
      </c>
      <c r="D332" s="30" t="s">
        <v>206</v>
      </c>
      <c r="E332" s="30" t="s">
        <v>398</v>
      </c>
      <c r="F332" s="30"/>
      <c r="G332" s="31">
        <f>G333+G337</f>
        <v>7108.7719999999999</v>
      </c>
      <c r="H332" s="31">
        <f>H333+H337</f>
        <v>5472.3</v>
      </c>
      <c r="I332" s="31">
        <f>I333+I337</f>
        <v>5472.3</v>
      </c>
    </row>
    <row r="333" spans="1:9" ht="24" x14ac:dyDescent="0.2">
      <c r="A333" s="29" t="s">
        <v>175</v>
      </c>
      <c r="B333" s="30" t="s">
        <v>373</v>
      </c>
      <c r="C333" s="30" t="s">
        <v>210</v>
      </c>
      <c r="D333" s="30" t="s">
        <v>206</v>
      </c>
      <c r="E333" s="30" t="s">
        <v>399</v>
      </c>
      <c r="F333" s="30"/>
      <c r="G333" s="31">
        <f t="shared" ref="G333:I335" si="92">G334</f>
        <v>6826.402</v>
      </c>
      <c r="H333" s="31">
        <f t="shared" si="92"/>
        <v>5228.1000000000004</v>
      </c>
      <c r="I333" s="31">
        <f t="shared" si="92"/>
        <v>5228.1000000000004</v>
      </c>
    </row>
    <row r="334" spans="1:9" x14ac:dyDescent="0.2">
      <c r="A334" s="39" t="s">
        <v>183</v>
      </c>
      <c r="B334" s="40" t="s">
        <v>373</v>
      </c>
      <c r="C334" s="40" t="s">
        <v>210</v>
      </c>
      <c r="D334" s="40" t="s">
        <v>206</v>
      </c>
      <c r="E334" s="40" t="s">
        <v>399</v>
      </c>
      <c r="F334" s="40"/>
      <c r="G334" s="41">
        <f t="shared" si="92"/>
        <v>6826.402</v>
      </c>
      <c r="H334" s="41">
        <f t="shared" si="92"/>
        <v>5228.1000000000004</v>
      </c>
      <c r="I334" s="41">
        <f t="shared" si="92"/>
        <v>5228.1000000000004</v>
      </c>
    </row>
    <row r="335" spans="1:9" ht="24" x14ac:dyDescent="0.2">
      <c r="A335" s="35" t="s">
        <v>185</v>
      </c>
      <c r="B335" s="36" t="s">
        <v>373</v>
      </c>
      <c r="C335" s="36" t="s">
        <v>210</v>
      </c>
      <c r="D335" s="36" t="s">
        <v>206</v>
      </c>
      <c r="E335" s="36" t="s">
        <v>399</v>
      </c>
      <c r="F335" s="36" t="s">
        <v>186</v>
      </c>
      <c r="G335" s="37">
        <f t="shared" si="92"/>
        <v>6826.402</v>
      </c>
      <c r="H335" s="37">
        <f t="shared" si="92"/>
        <v>5228.1000000000004</v>
      </c>
      <c r="I335" s="37">
        <f t="shared" si="92"/>
        <v>5228.1000000000004</v>
      </c>
    </row>
    <row r="336" spans="1:9" x14ac:dyDescent="0.2">
      <c r="A336" s="35" t="s">
        <v>187</v>
      </c>
      <c r="B336" s="36" t="s">
        <v>373</v>
      </c>
      <c r="C336" s="36" t="s">
        <v>210</v>
      </c>
      <c r="D336" s="36" t="s">
        <v>206</v>
      </c>
      <c r="E336" s="36" t="s">
        <v>399</v>
      </c>
      <c r="F336" s="36" t="s">
        <v>188</v>
      </c>
      <c r="G336" s="37">
        <f>3995.4+20+1212.7+1598.302</f>
        <v>6826.402</v>
      </c>
      <c r="H336" s="37">
        <f t="shared" ref="H336:I336" si="93">3995.4+20+1212.7</f>
        <v>5228.1000000000004</v>
      </c>
      <c r="I336" s="37">
        <f t="shared" si="93"/>
        <v>5228.1000000000004</v>
      </c>
    </row>
    <row r="337" spans="1:9" x14ac:dyDescent="0.2">
      <c r="A337" s="29" t="s">
        <v>193</v>
      </c>
      <c r="B337" s="30" t="s">
        <v>373</v>
      </c>
      <c r="C337" s="30" t="s">
        <v>210</v>
      </c>
      <c r="D337" s="30" t="s">
        <v>206</v>
      </c>
      <c r="E337" s="30" t="s">
        <v>400</v>
      </c>
      <c r="F337" s="30"/>
      <c r="G337" s="31">
        <f>G338+G340</f>
        <v>282.37</v>
      </c>
      <c r="H337" s="31">
        <f>H338+H340</f>
        <v>244.2</v>
      </c>
      <c r="I337" s="31">
        <f>I338+I340</f>
        <v>244.2</v>
      </c>
    </row>
    <row r="338" spans="1:9" x14ac:dyDescent="0.2">
      <c r="A338" s="35" t="s">
        <v>195</v>
      </c>
      <c r="B338" s="36" t="s">
        <v>373</v>
      </c>
      <c r="C338" s="36" t="s">
        <v>210</v>
      </c>
      <c r="D338" s="36" t="s">
        <v>206</v>
      </c>
      <c r="E338" s="36" t="s">
        <v>400</v>
      </c>
      <c r="F338" s="36" t="s">
        <v>196</v>
      </c>
      <c r="G338" s="37">
        <f>G339</f>
        <v>272.37</v>
      </c>
      <c r="H338" s="37">
        <f>H339</f>
        <v>234.2</v>
      </c>
      <c r="I338" s="37">
        <f>I339</f>
        <v>234.2</v>
      </c>
    </row>
    <row r="339" spans="1:9" x14ac:dyDescent="0.2">
      <c r="A339" s="35" t="s">
        <v>197</v>
      </c>
      <c r="B339" s="36" t="s">
        <v>373</v>
      </c>
      <c r="C339" s="36" t="s">
        <v>210</v>
      </c>
      <c r="D339" s="36" t="s">
        <v>206</v>
      </c>
      <c r="E339" s="36" t="s">
        <v>400</v>
      </c>
      <c r="F339" s="36" t="s">
        <v>198</v>
      </c>
      <c r="G339" s="37">
        <f>234.2+38.17</f>
        <v>272.37</v>
      </c>
      <c r="H339" s="37">
        <v>234.2</v>
      </c>
      <c r="I339" s="37">
        <v>234.2</v>
      </c>
    </row>
    <row r="340" spans="1:9" x14ac:dyDescent="0.2">
      <c r="A340" s="35" t="s">
        <v>199</v>
      </c>
      <c r="B340" s="36" t="s">
        <v>373</v>
      </c>
      <c r="C340" s="36" t="s">
        <v>210</v>
      </c>
      <c r="D340" s="36" t="s">
        <v>206</v>
      </c>
      <c r="E340" s="36" t="s">
        <v>400</v>
      </c>
      <c r="F340" s="36" t="s">
        <v>200</v>
      </c>
      <c r="G340" s="37">
        <f>G341</f>
        <v>10</v>
      </c>
      <c r="H340" s="37">
        <f>H341</f>
        <v>10</v>
      </c>
      <c r="I340" s="37">
        <f>I341</f>
        <v>10</v>
      </c>
    </row>
    <row r="341" spans="1:9" x14ac:dyDescent="0.2">
      <c r="A341" s="35" t="s">
        <v>201</v>
      </c>
      <c r="B341" s="36" t="s">
        <v>373</v>
      </c>
      <c r="C341" s="36" t="s">
        <v>210</v>
      </c>
      <c r="D341" s="36" t="s">
        <v>206</v>
      </c>
      <c r="E341" s="36" t="s">
        <v>400</v>
      </c>
      <c r="F341" s="36" t="s">
        <v>202</v>
      </c>
      <c r="G341" s="37">
        <v>10</v>
      </c>
      <c r="H341" s="37">
        <v>10</v>
      </c>
      <c r="I341" s="37">
        <v>10</v>
      </c>
    </row>
    <row r="342" spans="1:9" x14ac:dyDescent="0.2">
      <c r="A342" s="39" t="s">
        <v>178</v>
      </c>
      <c r="B342" s="40" t="s">
        <v>373</v>
      </c>
      <c r="C342" s="40" t="s">
        <v>210</v>
      </c>
      <c r="D342" s="40" t="s">
        <v>206</v>
      </c>
      <c r="E342" s="40" t="s">
        <v>189</v>
      </c>
      <c r="F342" s="36"/>
      <c r="G342" s="47">
        <f t="shared" ref="G342:I345" si="94">G343</f>
        <v>220.18091000000001</v>
      </c>
      <c r="H342" s="47">
        <f t="shared" si="94"/>
        <v>0</v>
      </c>
      <c r="I342" s="47">
        <f t="shared" si="94"/>
        <v>0</v>
      </c>
    </row>
    <row r="343" spans="1:9" x14ac:dyDescent="0.2">
      <c r="A343" s="29" t="s">
        <v>180</v>
      </c>
      <c r="B343" s="30" t="s">
        <v>373</v>
      </c>
      <c r="C343" s="30" t="s">
        <v>210</v>
      </c>
      <c r="D343" s="30" t="s">
        <v>206</v>
      </c>
      <c r="E343" s="30" t="s">
        <v>190</v>
      </c>
      <c r="F343" s="36"/>
      <c r="G343" s="45">
        <f t="shared" si="94"/>
        <v>220.18091000000001</v>
      </c>
      <c r="H343" s="45">
        <f t="shared" si="94"/>
        <v>0</v>
      </c>
      <c r="I343" s="45">
        <f t="shared" si="94"/>
        <v>0</v>
      </c>
    </row>
    <row r="344" spans="1:9" x14ac:dyDescent="0.2">
      <c r="A344" s="29" t="s">
        <v>203</v>
      </c>
      <c r="B344" s="30" t="s">
        <v>373</v>
      </c>
      <c r="C344" s="30" t="s">
        <v>210</v>
      </c>
      <c r="D344" s="30" t="s">
        <v>206</v>
      </c>
      <c r="E344" s="30" t="s">
        <v>204</v>
      </c>
      <c r="F344" s="30"/>
      <c r="G344" s="45">
        <f t="shared" si="94"/>
        <v>220.18091000000001</v>
      </c>
      <c r="H344" s="45">
        <f t="shared" si="94"/>
        <v>0</v>
      </c>
      <c r="I344" s="45">
        <f t="shared" si="94"/>
        <v>0</v>
      </c>
    </row>
    <row r="345" spans="1:9" ht="24" x14ac:dyDescent="0.2">
      <c r="A345" s="35" t="s">
        <v>185</v>
      </c>
      <c r="B345" s="36" t="s">
        <v>373</v>
      </c>
      <c r="C345" s="36" t="s">
        <v>210</v>
      </c>
      <c r="D345" s="36" t="s">
        <v>206</v>
      </c>
      <c r="E345" s="36" t="s">
        <v>204</v>
      </c>
      <c r="F345" s="36" t="s">
        <v>186</v>
      </c>
      <c r="G345" s="46">
        <f t="shared" si="94"/>
        <v>220.18091000000001</v>
      </c>
      <c r="H345" s="46">
        <f t="shared" si="94"/>
        <v>0</v>
      </c>
      <c r="I345" s="46">
        <f t="shared" si="94"/>
        <v>0</v>
      </c>
    </row>
    <row r="346" spans="1:9" x14ac:dyDescent="0.2">
      <c r="A346" s="35" t="s">
        <v>187</v>
      </c>
      <c r="B346" s="36" t="s">
        <v>373</v>
      </c>
      <c r="C346" s="36" t="s">
        <v>210</v>
      </c>
      <c r="D346" s="36" t="s">
        <v>206</v>
      </c>
      <c r="E346" s="36" t="s">
        <v>204</v>
      </c>
      <c r="F346" s="36" t="s">
        <v>188</v>
      </c>
      <c r="G346" s="46">
        <v>220.18091000000001</v>
      </c>
      <c r="H346" s="46">
        <v>0</v>
      </c>
      <c r="I346" s="46">
        <v>0</v>
      </c>
    </row>
    <row r="347" spans="1:9" ht="31.5" x14ac:dyDescent="0.2">
      <c r="A347" s="200" t="s">
        <v>401</v>
      </c>
      <c r="B347" s="207" t="s">
        <v>402</v>
      </c>
      <c r="C347" s="36"/>
      <c r="D347" s="36"/>
      <c r="E347" s="36"/>
      <c r="F347" s="36"/>
      <c r="G347" s="201">
        <f>G355+G348</f>
        <v>821584.03341999999</v>
      </c>
      <c r="H347" s="201">
        <f>H355+H348</f>
        <v>754491.3</v>
      </c>
      <c r="I347" s="201">
        <f>I355+I348</f>
        <v>237688.3</v>
      </c>
    </row>
    <row r="348" spans="1:9" x14ac:dyDescent="0.2">
      <c r="A348" s="241" t="s">
        <v>172</v>
      </c>
      <c r="B348" s="202" t="s">
        <v>402</v>
      </c>
      <c r="C348" s="202" t="s">
        <v>173</v>
      </c>
      <c r="D348" s="202" t="s">
        <v>174</v>
      </c>
      <c r="E348" s="40"/>
      <c r="F348" s="40"/>
      <c r="G348" s="41">
        <f t="shared" ref="G348:I353" si="95">G349</f>
        <v>237.346</v>
      </c>
      <c r="H348" s="47">
        <f t="shared" si="95"/>
        <v>0</v>
      </c>
      <c r="I348" s="47">
        <f t="shared" si="95"/>
        <v>0</v>
      </c>
    </row>
    <row r="349" spans="1:9" x14ac:dyDescent="0.2">
      <c r="A349" s="39" t="s">
        <v>215</v>
      </c>
      <c r="B349" s="202" t="s">
        <v>402</v>
      </c>
      <c r="C349" s="40" t="s">
        <v>173</v>
      </c>
      <c r="D349" s="40" t="s">
        <v>216</v>
      </c>
      <c r="E349" s="40"/>
      <c r="F349" s="40"/>
      <c r="G349" s="41">
        <f t="shared" si="95"/>
        <v>237.346</v>
      </c>
      <c r="H349" s="47">
        <f t="shared" si="95"/>
        <v>0</v>
      </c>
      <c r="I349" s="47">
        <f t="shared" si="95"/>
        <v>0</v>
      </c>
    </row>
    <row r="350" spans="1:9" x14ac:dyDescent="0.2">
      <c r="A350" s="242" t="s">
        <v>178</v>
      </c>
      <c r="B350" s="202" t="s">
        <v>402</v>
      </c>
      <c r="C350" s="40" t="s">
        <v>173</v>
      </c>
      <c r="D350" s="40" t="s">
        <v>216</v>
      </c>
      <c r="E350" s="40" t="s">
        <v>189</v>
      </c>
      <c r="F350" s="40"/>
      <c r="G350" s="41">
        <f t="shared" si="95"/>
        <v>237.346</v>
      </c>
      <c r="H350" s="47">
        <f t="shared" si="95"/>
        <v>0</v>
      </c>
      <c r="I350" s="47">
        <f t="shared" si="95"/>
        <v>0</v>
      </c>
    </row>
    <row r="351" spans="1:9" x14ac:dyDescent="0.2">
      <c r="A351" s="243" t="s">
        <v>180</v>
      </c>
      <c r="B351" s="244" t="s">
        <v>402</v>
      </c>
      <c r="C351" s="30" t="s">
        <v>173</v>
      </c>
      <c r="D351" s="30" t="s">
        <v>216</v>
      </c>
      <c r="E351" s="30" t="s">
        <v>190</v>
      </c>
      <c r="F351" s="30"/>
      <c r="G351" s="31">
        <f t="shared" si="95"/>
        <v>237.346</v>
      </c>
      <c r="H351" s="45">
        <f t="shared" si="95"/>
        <v>0</v>
      </c>
      <c r="I351" s="45">
        <f t="shared" si="95"/>
        <v>0</v>
      </c>
    </row>
    <row r="352" spans="1:9" x14ac:dyDescent="0.2">
      <c r="A352" s="245" t="s">
        <v>270</v>
      </c>
      <c r="B352" s="244" t="s">
        <v>402</v>
      </c>
      <c r="C352" s="30" t="s">
        <v>173</v>
      </c>
      <c r="D352" s="30" t="s">
        <v>216</v>
      </c>
      <c r="E352" s="51" t="s">
        <v>271</v>
      </c>
      <c r="F352" s="30"/>
      <c r="G352" s="31">
        <f t="shared" si="95"/>
        <v>237.346</v>
      </c>
      <c r="H352" s="45">
        <f t="shared" si="95"/>
        <v>0</v>
      </c>
      <c r="I352" s="45">
        <f t="shared" si="95"/>
        <v>0</v>
      </c>
    </row>
    <row r="353" spans="1:9" x14ac:dyDescent="0.2">
      <c r="A353" s="35" t="s">
        <v>199</v>
      </c>
      <c r="B353" s="244" t="s">
        <v>402</v>
      </c>
      <c r="C353" s="36" t="s">
        <v>173</v>
      </c>
      <c r="D353" s="36" t="s">
        <v>216</v>
      </c>
      <c r="E353" s="44" t="s">
        <v>271</v>
      </c>
      <c r="F353" s="36" t="s">
        <v>200</v>
      </c>
      <c r="G353" s="37">
        <f t="shared" si="95"/>
        <v>237.346</v>
      </c>
      <c r="H353" s="46">
        <f t="shared" si="95"/>
        <v>0</v>
      </c>
      <c r="I353" s="46">
        <f t="shared" si="95"/>
        <v>0</v>
      </c>
    </row>
    <row r="354" spans="1:9" x14ac:dyDescent="0.2">
      <c r="A354" s="35" t="s">
        <v>272</v>
      </c>
      <c r="B354" s="244" t="s">
        <v>402</v>
      </c>
      <c r="C354" s="36" t="s">
        <v>173</v>
      </c>
      <c r="D354" s="36" t="s">
        <v>216</v>
      </c>
      <c r="E354" s="44" t="s">
        <v>271</v>
      </c>
      <c r="F354" s="36" t="s">
        <v>273</v>
      </c>
      <c r="G354" s="37">
        <v>237.346</v>
      </c>
      <c r="H354" s="46">
        <v>0</v>
      </c>
      <c r="I354" s="46">
        <v>0</v>
      </c>
    </row>
    <row r="355" spans="1:9" x14ac:dyDescent="0.2">
      <c r="A355" s="29" t="s">
        <v>290</v>
      </c>
      <c r="B355" s="30" t="s">
        <v>402</v>
      </c>
      <c r="C355" s="30" t="s">
        <v>177</v>
      </c>
      <c r="D355" s="30" t="s">
        <v>174</v>
      </c>
      <c r="E355" s="36"/>
      <c r="F355" s="36"/>
      <c r="G355" s="31">
        <f>G356+G372</f>
        <v>821346.68741999997</v>
      </c>
      <c r="H355" s="31">
        <f>H356+H372</f>
        <v>754491.3</v>
      </c>
      <c r="I355" s="31">
        <f>I356+I372</f>
        <v>237688.3</v>
      </c>
    </row>
    <row r="356" spans="1:9" x14ac:dyDescent="0.2">
      <c r="A356" s="29" t="s">
        <v>403</v>
      </c>
      <c r="B356" s="30" t="s">
        <v>402</v>
      </c>
      <c r="C356" s="30" t="s">
        <v>177</v>
      </c>
      <c r="D356" s="30" t="s">
        <v>404</v>
      </c>
      <c r="E356" s="30"/>
      <c r="F356" s="30"/>
      <c r="G356" s="31">
        <f>G357+G367</f>
        <v>10429.185750000001</v>
      </c>
      <c r="H356" s="31">
        <f>H357+H367</f>
        <v>10633.8</v>
      </c>
      <c r="I356" s="31">
        <f>I357+I367</f>
        <v>10633.8</v>
      </c>
    </row>
    <row r="357" spans="1:9" ht="13.5" x14ac:dyDescent="0.2">
      <c r="A357" s="38" t="s">
        <v>405</v>
      </c>
      <c r="B357" s="32" t="s">
        <v>402</v>
      </c>
      <c r="C357" s="32" t="s">
        <v>177</v>
      </c>
      <c r="D357" s="32" t="s">
        <v>404</v>
      </c>
      <c r="E357" s="32" t="s">
        <v>406</v>
      </c>
      <c r="F357" s="32"/>
      <c r="G357" s="33">
        <f>G358</f>
        <v>10126.437</v>
      </c>
      <c r="H357" s="33">
        <f t="shared" ref="H357:I357" si="96">H358</f>
        <v>10633.8</v>
      </c>
      <c r="I357" s="33">
        <f t="shared" si="96"/>
        <v>10633.8</v>
      </c>
    </row>
    <row r="358" spans="1:9" x14ac:dyDescent="0.2">
      <c r="A358" s="39" t="s">
        <v>407</v>
      </c>
      <c r="B358" s="40" t="s">
        <v>402</v>
      </c>
      <c r="C358" s="40" t="s">
        <v>177</v>
      </c>
      <c r="D358" s="40" t="s">
        <v>404</v>
      </c>
      <c r="E358" s="40" t="s">
        <v>408</v>
      </c>
      <c r="F358" s="40"/>
      <c r="G358" s="41">
        <f>G359+G362</f>
        <v>10126.437</v>
      </c>
      <c r="H358" s="41">
        <f>H359+H362</f>
        <v>10633.8</v>
      </c>
      <c r="I358" s="41">
        <f>I359+I362</f>
        <v>10633.8</v>
      </c>
    </row>
    <row r="359" spans="1:9" x14ac:dyDescent="0.2">
      <c r="A359" s="29" t="s">
        <v>183</v>
      </c>
      <c r="B359" s="30" t="s">
        <v>402</v>
      </c>
      <c r="C359" s="30" t="s">
        <v>177</v>
      </c>
      <c r="D359" s="30" t="s">
        <v>404</v>
      </c>
      <c r="E359" s="30" t="s">
        <v>409</v>
      </c>
      <c r="F359" s="30"/>
      <c r="G359" s="31">
        <f>G360</f>
        <v>9223.7829999999994</v>
      </c>
      <c r="H359" s="31">
        <f t="shared" ref="H359:I360" si="97">H360</f>
        <v>8407.7999999999993</v>
      </c>
      <c r="I359" s="31">
        <f t="shared" si="97"/>
        <v>8407.7999999999993</v>
      </c>
    </row>
    <row r="360" spans="1:9" ht="24" x14ac:dyDescent="0.2">
      <c r="A360" s="35" t="s">
        <v>185</v>
      </c>
      <c r="B360" s="36" t="s">
        <v>402</v>
      </c>
      <c r="C360" s="36" t="s">
        <v>177</v>
      </c>
      <c r="D360" s="36" t="s">
        <v>404</v>
      </c>
      <c r="E360" s="36" t="s">
        <v>409</v>
      </c>
      <c r="F360" s="36" t="s">
        <v>186</v>
      </c>
      <c r="G360" s="37">
        <f>G361</f>
        <v>9223.7829999999994</v>
      </c>
      <c r="H360" s="37">
        <f t="shared" si="97"/>
        <v>8407.7999999999993</v>
      </c>
      <c r="I360" s="37">
        <f t="shared" si="97"/>
        <v>8407.7999999999993</v>
      </c>
    </row>
    <row r="361" spans="1:9" x14ac:dyDescent="0.2">
      <c r="A361" s="35" t="s">
        <v>187</v>
      </c>
      <c r="B361" s="36" t="s">
        <v>402</v>
      </c>
      <c r="C361" s="36" t="s">
        <v>177</v>
      </c>
      <c r="D361" s="36" t="s">
        <v>404</v>
      </c>
      <c r="E361" s="36" t="s">
        <v>409</v>
      </c>
      <c r="F361" s="36" t="s">
        <v>188</v>
      </c>
      <c r="G361" s="37">
        <f>6303.4+62+1922.4+120+815.983</f>
        <v>9223.7829999999994</v>
      </c>
      <c r="H361" s="37">
        <f>6303.4+62+1922.4+120</f>
        <v>8407.7999999999993</v>
      </c>
      <c r="I361" s="37">
        <f>6303.4+62+1922.4+120</f>
        <v>8407.7999999999993</v>
      </c>
    </row>
    <row r="362" spans="1:9" x14ac:dyDescent="0.2">
      <c r="A362" s="29" t="s">
        <v>193</v>
      </c>
      <c r="B362" s="30" t="s">
        <v>402</v>
      </c>
      <c r="C362" s="30" t="s">
        <v>177</v>
      </c>
      <c r="D362" s="30" t="s">
        <v>404</v>
      </c>
      <c r="E362" s="30" t="s">
        <v>410</v>
      </c>
      <c r="F362" s="30"/>
      <c r="G362" s="31">
        <f>G363+G365</f>
        <v>902.654</v>
      </c>
      <c r="H362" s="31">
        <f>H363+H365</f>
        <v>2226</v>
      </c>
      <c r="I362" s="31">
        <f>I363+I365</f>
        <v>2226</v>
      </c>
    </row>
    <row r="363" spans="1:9" x14ac:dyDescent="0.2">
      <c r="A363" s="35" t="s">
        <v>195</v>
      </c>
      <c r="B363" s="36" t="s">
        <v>402</v>
      </c>
      <c r="C363" s="36" t="s">
        <v>177</v>
      </c>
      <c r="D363" s="36" t="s">
        <v>404</v>
      </c>
      <c r="E363" s="36" t="s">
        <v>410</v>
      </c>
      <c r="F363" s="36" t="s">
        <v>196</v>
      </c>
      <c r="G363" s="37">
        <f>G364</f>
        <v>260</v>
      </c>
      <c r="H363" s="37">
        <f t="shared" ref="H363:I363" si="98">H364</f>
        <v>260</v>
      </c>
      <c r="I363" s="37">
        <f t="shared" si="98"/>
        <v>260</v>
      </c>
    </row>
    <row r="364" spans="1:9" x14ac:dyDescent="0.2">
      <c r="A364" s="35" t="s">
        <v>197</v>
      </c>
      <c r="B364" s="36" t="s">
        <v>402</v>
      </c>
      <c r="C364" s="36" t="s">
        <v>177</v>
      </c>
      <c r="D364" s="36" t="s">
        <v>404</v>
      </c>
      <c r="E364" s="36" t="s">
        <v>410</v>
      </c>
      <c r="F364" s="36" t="s">
        <v>198</v>
      </c>
      <c r="G364" s="37">
        <v>260</v>
      </c>
      <c r="H364" s="37">
        <v>260</v>
      </c>
      <c r="I364" s="37">
        <v>260</v>
      </c>
    </row>
    <row r="365" spans="1:9" x14ac:dyDescent="0.2">
      <c r="A365" s="35" t="s">
        <v>199</v>
      </c>
      <c r="B365" s="36" t="s">
        <v>402</v>
      </c>
      <c r="C365" s="36" t="s">
        <v>177</v>
      </c>
      <c r="D365" s="36" t="s">
        <v>404</v>
      </c>
      <c r="E365" s="36" t="s">
        <v>410</v>
      </c>
      <c r="F365" s="36" t="s">
        <v>200</v>
      </c>
      <c r="G365" s="37">
        <f>G366</f>
        <v>642.654</v>
      </c>
      <c r="H365" s="37">
        <f t="shared" ref="H365:I365" si="99">H366</f>
        <v>1966</v>
      </c>
      <c r="I365" s="37">
        <f t="shared" si="99"/>
        <v>1966</v>
      </c>
    </row>
    <row r="366" spans="1:9" x14ac:dyDescent="0.2">
      <c r="A366" s="35" t="s">
        <v>201</v>
      </c>
      <c r="B366" s="36" t="s">
        <v>402</v>
      </c>
      <c r="C366" s="36" t="s">
        <v>177</v>
      </c>
      <c r="D366" s="36" t="s">
        <v>404</v>
      </c>
      <c r="E366" s="36" t="s">
        <v>410</v>
      </c>
      <c r="F366" s="36" t="s">
        <v>202</v>
      </c>
      <c r="G366" s="37">
        <f>880-237.346</f>
        <v>642.654</v>
      </c>
      <c r="H366" s="37">
        <v>1966</v>
      </c>
      <c r="I366" s="37">
        <v>1966</v>
      </c>
    </row>
    <row r="367" spans="1:9" x14ac:dyDescent="0.2">
      <c r="A367" s="39" t="s">
        <v>178</v>
      </c>
      <c r="B367" s="40" t="s">
        <v>402</v>
      </c>
      <c r="C367" s="40" t="s">
        <v>177</v>
      </c>
      <c r="D367" s="40" t="s">
        <v>404</v>
      </c>
      <c r="E367" s="40" t="s">
        <v>189</v>
      </c>
      <c r="F367" s="40"/>
      <c r="G367" s="145">
        <f t="shared" ref="G367:H370" si="100">G368</f>
        <v>302.74874999999997</v>
      </c>
      <c r="H367" s="246">
        <f t="shared" si="100"/>
        <v>0</v>
      </c>
      <c r="I367" s="41"/>
    </row>
    <row r="368" spans="1:9" x14ac:dyDescent="0.2">
      <c r="A368" s="29" t="s">
        <v>180</v>
      </c>
      <c r="B368" s="30" t="s">
        <v>402</v>
      </c>
      <c r="C368" s="30" t="s">
        <v>177</v>
      </c>
      <c r="D368" s="30" t="s">
        <v>404</v>
      </c>
      <c r="E368" s="30" t="s">
        <v>190</v>
      </c>
      <c r="F368" s="30"/>
      <c r="G368" s="127">
        <f t="shared" si="100"/>
        <v>302.74874999999997</v>
      </c>
      <c r="H368" s="239">
        <f t="shared" si="100"/>
        <v>0</v>
      </c>
      <c r="I368" s="31"/>
    </row>
    <row r="369" spans="1:9" x14ac:dyDescent="0.2">
      <c r="A369" s="29" t="s">
        <v>203</v>
      </c>
      <c r="B369" s="30" t="s">
        <v>402</v>
      </c>
      <c r="C369" s="30" t="s">
        <v>177</v>
      </c>
      <c r="D369" s="30" t="s">
        <v>404</v>
      </c>
      <c r="E369" s="30" t="s">
        <v>204</v>
      </c>
      <c r="F369" s="30"/>
      <c r="G369" s="127">
        <f t="shared" si="100"/>
        <v>302.74874999999997</v>
      </c>
      <c r="H369" s="239">
        <f t="shared" si="100"/>
        <v>0</v>
      </c>
      <c r="I369" s="31"/>
    </row>
    <row r="370" spans="1:9" ht="24" x14ac:dyDescent="0.2">
      <c r="A370" s="35" t="s">
        <v>185</v>
      </c>
      <c r="B370" s="36" t="s">
        <v>402</v>
      </c>
      <c r="C370" s="36" t="s">
        <v>177</v>
      </c>
      <c r="D370" s="36" t="s">
        <v>404</v>
      </c>
      <c r="E370" s="36" t="s">
        <v>204</v>
      </c>
      <c r="F370" s="36" t="s">
        <v>186</v>
      </c>
      <c r="G370" s="115">
        <f t="shared" si="100"/>
        <v>302.74874999999997</v>
      </c>
      <c r="H370" s="240">
        <f t="shared" si="100"/>
        <v>0</v>
      </c>
      <c r="I370" s="37"/>
    </row>
    <row r="371" spans="1:9" x14ac:dyDescent="0.2">
      <c r="A371" s="35" t="s">
        <v>187</v>
      </c>
      <c r="B371" s="36" t="s">
        <v>402</v>
      </c>
      <c r="C371" s="36" t="s">
        <v>177</v>
      </c>
      <c r="D371" s="36" t="s">
        <v>404</v>
      </c>
      <c r="E371" s="36" t="s">
        <v>204</v>
      </c>
      <c r="F371" s="36" t="s">
        <v>188</v>
      </c>
      <c r="G371" s="115">
        <v>302.74874999999997</v>
      </c>
      <c r="H371" s="240">
        <v>0</v>
      </c>
      <c r="I371" s="37"/>
    </row>
    <row r="372" spans="1:9" x14ac:dyDescent="0.2">
      <c r="A372" s="29" t="s">
        <v>411</v>
      </c>
      <c r="B372" s="30" t="s">
        <v>402</v>
      </c>
      <c r="C372" s="30" t="s">
        <v>177</v>
      </c>
      <c r="D372" s="30" t="s">
        <v>412</v>
      </c>
      <c r="E372" s="44"/>
      <c r="F372" s="36"/>
      <c r="G372" s="31">
        <f>G373</f>
        <v>810917.50167000003</v>
      </c>
      <c r="H372" s="31">
        <f t="shared" ref="H372:I372" si="101">H373</f>
        <v>743857.5</v>
      </c>
      <c r="I372" s="31">
        <f t="shared" si="101"/>
        <v>227054.5</v>
      </c>
    </row>
    <row r="373" spans="1:9" ht="13.5" x14ac:dyDescent="0.2">
      <c r="A373" s="38" t="s">
        <v>405</v>
      </c>
      <c r="B373" s="32" t="s">
        <v>402</v>
      </c>
      <c r="C373" s="32" t="s">
        <v>177</v>
      </c>
      <c r="D373" s="32" t="s">
        <v>412</v>
      </c>
      <c r="E373" s="32" t="s">
        <v>406</v>
      </c>
      <c r="F373" s="32"/>
      <c r="G373" s="33">
        <f>G374+G405</f>
        <v>810917.50167000003</v>
      </c>
      <c r="H373" s="33">
        <f>H374+H405</f>
        <v>743857.5</v>
      </c>
      <c r="I373" s="33">
        <f>I374+I405</f>
        <v>227054.5</v>
      </c>
    </row>
    <row r="374" spans="1:9" ht="24" x14ac:dyDescent="0.2">
      <c r="A374" s="42" t="s">
        <v>413</v>
      </c>
      <c r="B374" s="40" t="s">
        <v>402</v>
      </c>
      <c r="C374" s="40" t="s">
        <v>177</v>
      </c>
      <c r="D374" s="40" t="s">
        <v>412</v>
      </c>
      <c r="E374" s="43" t="s">
        <v>414</v>
      </c>
      <c r="F374" s="40"/>
      <c r="G374" s="41">
        <f>G375+G380+G383+G386+G391+G396+G399+G402</f>
        <v>802530.92267</v>
      </c>
      <c r="H374" s="41">
        <f>H375+H380+H383+H386+H391+H396+H399+H402</f>
        <v>735697.5</v>
      </c>
      <c r="I374" s="41">
        <f>I375+I380+I383+I386+I391+I396+I399+I402</f>
        <v>218894.5</v>
      </c>
    </row>
    <row r="375" spans="1:9" ht="24" x14ac:dyDescent="0.2">
      <c r="A375" s="29" t="s">
        <v>415</v>
      </c>
      <c r="B375" s="30" t="s">
        <v>402</v>
      </c>
      <c r="C375" s="30" t="s">
        <v>177</v>
      </c>
      <c r="D375" s="30" t="s">
        <v>412</v>
      </c>
      <c r="E375" s="30" t="s">
        <v>416</v>
      </c>
      <c r="F375" s="30"/>
      <c r="G375" s="31">
        <f>G376+G378</f>
        <v>25041.930670000002</v>
      </c>
      <c r="H375" s="31">
        <f>H376+H378</f>
        <v>22591</v>
      </c>
      <c r="I375" s="31">
        <f>I376+I378</f>
        <v>24077</v>
      </c>
    </row>
    <row r="376" spans="1:9" x14ac:dyDescent="0.2">
      <c r="A376" s="35" t="s">
        <v>195</v>
      </c>
      <c r="B376" s="36" t="s">
        <v>402</v>
      </c>
      <c r="C376" s="36" t="s">
        <v>177</v>
      </c>
      <c r="D376" s="36" t="s">
        <v>412</v>
      </c>
      <c r="E376" s="36" t="s">
        <v>416</v>
      </c>
      <c r="F376" s="36" t="s">
        <v>196</v>
      </c>
      <c r="G376" s="37">
        <f>G377</f>
        <v>24461.930670000002</v>
      </c>
      <c r="H376" s="37">
        <f t="shared" ref="H376:I376" si="102">H377</f>
        <v>22591</v>
      </c>
      <c r="I376" s="37">
        <f t="shared" si="102"/>
        <v>24077</v>
      </c>
    </row>
    <row r="377" spans="1:9" x14ac:dyDescent="0.2">
      <c r="A377" s="35" t="s">
        <v>197</v>
      </c>
      <c r="B377" s="36" t="s">
        <v>402</v>
      </c>
      <c r="C377" s="36" t="s">
        <v>177</v>
      </c>
      <c r="D377" s="36" t="s">
        <v>412</v>
      </c>
      <c r="E377" s="36" t="s">
        <v>416</v>
      </c>
      <c r="F377" s="36" t="s">
        <v>198</v>
      </c>
      <c r="G377" s="37">
        <f>21717+3324.93067-580</f>
        <v>24461.930670000002</v>
      </c>
      <c r="H377" s="37">
        <v>22591</v>
      </c>
      <c r="I377" s="37">
        <v>24077</v>
      </c>
    </row>
    <row r="378" spans="1:9" x14ac:dyDescent="0.2">
      <c r="A378" s="35" t="s">
        <v>344</v>
      </c>
      <c r="B378" s="36" t="s">
        <v>402</v>
      </c>
      <c r="C378" s="36" t="s">
        <v>177</v>
      </c>
      <c r="D378" s="36" t="s">
        <v>412</v>
      </c>
      <c r="E378" s="36" t="s">
        <v>416</v>
      </c>
      <c r="F378" s="36" t="s">
        <v>345</v>
      </c>
      <c r="G378" s="37">
        <f>G379</f>
        <v>580</v>
      </c>
      <c r="H378" s="46">
        <f>H379</f>
        <v>0</v>
      </c>
      <c r="I378" s="46">
        <f>I379</f>
        <v>0</v>
      </c>
    </row>
    <row r="379" spans="1:9" x14ac:dyDescent="0.2">
      <c r="A379" s="35" t="s">
        <v>346</v>
      </c>
      <c r="B379" s="36" t="s">
        <v>402</v>
      </c>
      <c r="C379" s="36" t="s">
        <v>177</v>
      </c>
      <c r="D379" s="36" t="s">
        <v>412</v>
      </c>
      <c r="E379" s="36" t="s">
        <v>416</v>
      </c>
      <c r="F379" s="36" t="s">
        <v>347</v>
      </c>
      <c r="G379" s="37">
        <v>580</v>
      </c>
      <c r="H379" s="46">
        <v>0</v>
      </c>
      <c r="I379" s="46">
        <v>0</v>
      </c>
    </row>
    <row r="380" spans="1:9" ht="24" x14ac:dyDescent="0.2">
      <c r="A380" s="29" t="s">
        <v>417</v>
      </c>
      <c r="B380" s="30" t="s">
        <v>402</v>
      </c>
      <c r="C380" s="30" t="s">
        <v>177</v>
      </c>
      <c r="D380" s="30" t="s">
        <v>412</v>
      </c>
      <c r="E380" s="30" t="s">
        <v>418</v>
      </c>
      <c r="F380" s="30"/>
      <c r="G380" s="31">
        <f>G381</f>
        <v>2600</v>
      </c>
      <c r="H380" s="45">
        <f t="shared" ref="H380:I381" si="103">H381</f>
        <v>0</v>
      </c>
      <c r="I380" s="45">
        <f t="shared" si="103"/>
        <v>0</v>
      </c>
    </row>
    <row r="381" spans="1:9" x14ac:dyDescent="0.2">
      <c r="A381" s="35" t="s">
        <v>195</v>
      </c>
      <c r="B381" s="36" t="s">
        <v>402</v>
      </c>
      <c r="C381" s="36" t="s">
        <v>177</v>
      </c>
      <c r="D381" s="36" t="s">
        <v>412</v>
      </c>
      <c r="E381" s="36" t="s">
        <v>418</v>
      </c>
      <c r="F381" s="36" t="s">
        <v>196</v>
      </c>
      <c r="G381" s="37">
        <f>G382</f>
        <v>2600</v>
      </c>
      <c r="H381" s="46">
        <f t="shared" si="103"/>
        <v>0</v>
      </c>
      <c r="I381" s="46">
        <f t="shared" si="103"/>
        <v>0</v>
      </c>
    </row>
    <row r="382" spans="1:9" x14ac:dyDescent="0.2">
      <c r="A382" s="35" t="s">
        <v>197</v>
      </c>
      <c r="B382" s="36" t="s">
        <v>402</v>
      </c>
      <c r="C382" s="36" t="s">
        <v>177</v>
      </c>
      <c r="D382" s="36" t="s">
        <v>412</v>
      </c>
      <c r="E382" s="36" t="s">
        <v>418</v>
      </c>
      <c r="F382" s="36" t="s">
        <v>198</v>
      </c>
      <c r="G382" s="37">
        <v>2600</v>
      </c>
      <c r="H382" s="46">
        <v>0</v>
      </c>
      <c r="I382" s="46">
        <v>0</v>
      </c>
    </row>
    <row r="383" spans="1:9" x14ac:dyDescent="0.2">
      <c r="A383" s="70" t="s">
        <v>419</v>
      </c>
      <c r="B383" s="30" t="s">
        <v>402</v>
      </c>
      <c r="C383" s="30" t="s">
        <v>177</v>
      </c>
      <c r="D383" s="30" t="s">
        <v>412</v>
      </c>
      <c r="E383" s="30" t="s">
        <v>420</v>
      </c>
      <c r="F383" s="30"/>
      <c r="G383" s="31">
        <f>G384</f>
        <v>4000</v>
      </c>
      <c r="H383" s="45">
        <f t="shared" ref="H383:I384" si="104">H384</f>
        <v>4600</v>
      </c>
      <c r="I383" s="45">
        <f t="shared" si="104"/>
        <v>4600</v>
      </c>
    </row>
    <row r="384" spans="1:9" x14ac:dyDescent="0.2">
      <c r="A384" s="35" t="s">
        <v>195</v>
      </c>
      <c r="B384" s="36" t="s">
        <v>402</v>
      </c>
      <c r="C384" s="36" t="s">
        <v>177</v>
      </c>
      <c r="D384" s="36" t="s">
        <v>412</v>
      </c>
      <c r="E384" s="36" t="s">
        <v>420</v>
      </c>
      <c r="F384" s="36" t="s">
        <v>196</v>
      </c>
      <c r="G384" s="37">
        <f>G385</f>
        <v>4000</v>
      </c>
      <c r="H384" s="46">
        <f t="shared" si="104"/>
        <v>4600</v>
      </c>
      <c r="I384" s="46">
        <f t="shared" si="104"/>
        <v>4600</v>
      </c>
    </row>
    <row r="385" spans="1:9" x14ac:dyDescent="0.2">
      <c r="A385" s="35" t="s">
        <v>197</v>
      </c>
      <c r="B385" s="36" t="s">
        <v>402</v>
      </c>
      <c r="C385" s="36" t="s">
        <v>177</v>
      </c>
      <c r="D385" s="36" t="s">
        <v>412</v>
      </c>
      <c r="E385" s="36" t="s">
        <v>420</v>
      </c>
      <c r="F385" s="36" t="s">
        <v>198</v>
      </c>
      <c r="G385" s="37">
        <v>4000</v>
      </c>
      <c r="H385" s="46">
        <f>6600-2000</f>
        <v>4600</v>
      </c>
      <c r="I385" s="46">
        <f>6600-2000</f>
        <v>4600</v>
      </c>
    </row>
    <row r="386" spans="1:9" x14ac:dyDescent="0.2">
      <c r="A386" s="39" t="s">
        <v>421</v>
      </c>
      <c r="B386" s="40" t="s">
        <v>402</v>
      </c>
      <c r="C386" s="40" t="s">
        <v>177</v>
      </c>
      <c r="D386" s="40" t="s">
        <v>412</v>
      </c>
      <c r="E386" s="40" t="s">
        <v>422</v>
      </c>
      <c r="F386" s="40"/>
      <c r="G386" s="41">
        <f>G387+G389</f>
        <v>176397</v>
      </c>
      <c r="H386" s="41">
        <f>H387+H389</f>
        <v>179793.5</v>
      </c>
      <c r="I386" s="41">
        <f>I387+I389</f>
        <v>179793.5</v>
      </c>
    </row>
    <row r="387" spans="1:9" x14ac:dyDescent="0.2">
      <c r="A387" s="35" t="s">
        <v>195</v>
      </c>
      <c r="B387" s="36" t="s">
        <v>402</v>
      </c>
      <c r="C387" s="36" t="s">
        <v>177</v>
      </c>
      <c r="D387" s="36" t="s">
        <v>412</v>
      </c>
      <c r="E387" s="36" t="s">
        <v>422</v>
      </c>
      <c r="F387" s="36" t="s">
        <v>196</v>
      </c>
      <c r="G387" s="37">
        <f>G388</f>
        <v>56421.834999999999</v>
      </c>
      <c r="H387" s="37">
        <f t="shared" ref="H387:I387" si="105">H388</f>
        <v>179793.5</v>
      </c>
      <c r="I387" s="37">
        <f t="shared" si="105"/>
        <v>179793.5</v>
      </c>
    </row>
    <row r="388" spans="1:9" x14ac:dyDescent="0.2">
      <c r="A388" s="35" t="s">
        <v>197</v>
      </c>
      <c r="B388" s="36" t="s">
        <v>402</v>
      </c>
      <c r="C388" s="36" t="s">
        <v>177</v>
      </c>
      <c r="D388" s="36" t="s">
        <v>412</v>
      </c>
      <c r="E388" s="36" t="s">
        <v>422</v>
      </c>
      <c r="F388" s="36" t="s">
        <v>198</v>
      </c>
      <c r="G388" s="37">
        <f>113268.322-56846.487</f>
        <v>56421.834999999999</v>
      </c>
      <c r="H388" s="37">
        <v>179793.5</v>
      </c>
      <c r="I388" s="37">
        <v>179793.5</v>
      </c>
    </row>
    <row r="389" spans="1:9" x14ac:dyDescent="0.2">
      <c r="A389" s="35" t="s">
        <v>344</v>
      </c>
      <c r="B389" s="36" t="s">
        <v>402</v>
      </c>
      <c r="C389" s="36" t="s">
        <v>177</v>
      </c>
      <c r="D389" s="36" t="s">
        <v>412</v>
      </c>
      <c r="E389" s="36" t="s">
        <v>422</v>
      </c>
      <c r="F389" s="36" t="s">
        <v>345</v>
      </c>
      <c r="G389" s="37">
        <f>G390</f>
        <v>119975.16500000001</v>
      </c>
      <c r="H389" s="46">
        <f t="shared" ref="H389:I389" si="106">H390</f>
        <v>0</v>
      </c>
      <c r="I389" s="46">
        <f t="shared" si="106"/>
        <v>0</v>
      </c>
    </row>
    <row r="390" spans="1:9" x14ac:dyDescent="0.2">
      <c r="A390" s="35" t="s">
        <v>346</v>
      </c>
      <c r="B390" s="36" t="s">
        <v>402</v>
      </c>
      <c r="C390" s="36" t="s">
        <v>177</v>
      </c>
      <c r="D390" s="36" t="s">
        <v>412</v>
      </c>
      <c r="E390" s="36" t="s">
        <v>422</v>
      </c>
      <c r="F390" s="36" t="s">
        <v>347</v>
      </c>
      <c r="G390" s="37">
        <f>63128.678+56846.487</f>
        <v>119975.16500000001</v>
      </c>
      <c r="H390" s="46">
        <v>0</v>
      </c>
      <c r="I390" s="46">
        <v>0</v>
      </c>
    </row>
    <row r="391" spans="1:9" ht="24" x14ac:dyDescent="0.2">
      <c r="A391" s="39" t="s">
        <v>423</v>
      </c>
      <c r="B391" s="40" t="s">
        <v>402</v>
      </c>
      <c r="C391" s="40" t="s">
        <v>177</v>
      </c>
      <c r="D391" s="40" t="s">
        <v>412</v>
      </c>
      <c r="E391" s="40" t="s">
        <v>424</v>
      </c>
      <c r="F391" s="40"/>
      <c r="G391" s="41">
        <f>G392+G394</f>
        <v>10423.999999999998</v>
      </c>
      <c r="H391" s="41">
        <f>H392+H394</f>
        <v>10424</v>
      </c>
      <c r="I391" s="41">
        <f>I392+I394</f>
        <v>10424</v>
      </c>
    </row>
    <row r="392" spans="1:9" x14ac:dyDescent="0.2">
      <c r="A392" s="35" t="s">
        <v>195</v>
      </c>
      <c r="B392" s="36" t="s">
        <v>402</v>
      </c>
      <c r="C392" s="36" t="s">
        <v>177</v>
      </c>
      <c r="D392" s="36" t="s">
        <v>412</v>
      </c>
      <c r="E392" s="36" t="s">
        <v>424</v>
      </c>
      <c r="F392" s="36" t="s">
        <v>196</v>
      </c>
      <c r="G392" s="37">
        <f>G393</f>
        <v>4109.5550000000003</v>
      </c>
      <c r="H392" s="37">
        <f t="shared" ref="H392:I392" si="107">H393</f>
        <v>10424</v>
      </c>
      <c r="I392" s="37">
        <f t="shared" si="107"/>
        <v>10424</v>
      </c>
    </row>
    <row r="393" spans="1:9" x14ac:dyDescent="0.2">
      <c r="A393" s="35" t="s">
        <v>197</v>
      </c>
      <c r="B393" s="36" t="s">
        <v>402</v>
      </c>
      <c r="C393" s="36" t="s">
        <v>177</v>
      </c>
      <c r="D393" s="36" t="s">
        <v>412</v>
      </c>
      <c r="E393" s="36" t="s">
        <v>424</v>
      </c>
      <c r="F393" s="36" t="s">
        <v>198</v>
      </c>
      <c r="G393" s="37">
        <f>7101.438-2991.883</f>
        <v>4109.5550000000003</v>
      </c>
      <c r="H393" s="37">
        <v>10424</v>
      </c>
      <c r="I393" s="37">
        <v>10424</v>
      </c>
    </row>
    <row r="394" spans="1:9" x14ac:dyDescent="0.2">
      <c r="A394" s="35" t="s">
        <v>344</v>
      </c>
      <c r="B394" s="36" t="s">
        <v>402</v>
      </c>
      <c r="C394" s="36" t="s">
        <v>177</v>
      </c>
      <c r="D394" s="36" t="s">
        <v>412</v>
      </c>
      <c r="E394" s="36" t="s">
        <v>424</v>
      </c>
      <c r="F394" s="36" t="s">
        <v>345</v>
      </c>
      <c r="G394" s="37">
        <f>G395</f>
        <v>6314.4449999999979</v>
      </c>
      <c r="H394" s="46">
        <f t="shared" ref="H394:I394" si="108">H395</f>
        <v>0</v>
      </c>
      <c r="I394" s="46">
        <f t="shared" si="108"/>
        <v>0</v>
      </c>
    </row>
    <row r="395" spans="1:9" x14ac:dyDescent="0.2">
      <c r="A395" s="35" t="s">
        <v>346</v>
      </c>
      <c r="B395" s="36" t="s">
        <v>402</v>
      </c>
      <c r="C395" s="36" t="s">
        <v>177</v>
      </c>
      <c r="D395" s="36" t="s">
        <v>412</v>
      </c>
      <c r="E395" s="36" t="s">
        <v>424</v>
      </c>
      <c r="F395" s="36" t="s">
        <v>347</v>
      </c>
      <c r="G395" s="37">
        <f>3322.562+30000-30000+2991.883</f>
        <v>6314.4449999999979</v>
      </c>
      <c r="H395" s="46">
        <v>0</v>
      </c>
      <c r="I395" s="46">
        <v>0</v>
      </c>
    </row>
    <row r="396" spans="1:9" ht="24" x14ac:dyDescent="0.2">
      <c r="A396" s="29" t="s">
        <v>425</v>
      </c>
      <c r="B396" s="30" t="s">
        <v>402</v>
      </c>
      <c r="C396" s="30" t="s">
        <v>426</v>
      </c>
      <c r="D396" s="30" t="s">
        <v>412</v>
      </c>
      <c r="E396" s="30" t="s">
        <v>427</v>
      </c>
      <c r="F396" s="30"/>
      <c r="G396" s="31">
        <f>G397</f>
        <v>575606</v>
      </c>
      <c r="H396" s="31">
        <f t="shared" ref="H396:I397" si="109">H397</f>
        <v>518289</v>
      </c>
      <c r="I396" s="45">
        <f t="shared" si="109"/>
        <v>0</v>
      </c>
    </row>
    <row r="397" spans="1:9" x14ac:dyDescent="0.2">
      <c r="A397" s="35" t="s">
        <v>195</v>
      </c>
      <c r="B397" s="36" t="s">
        <v>402</v>
      </c>
      <c r="C397" s="36" t="s">
        <v>177</v>
      </c>
      <c r="D397" s="36" t="s">
        <v>412</v>
      </c>
      <c r="E397" s="36" t="s">
        <v>427</v>
      </c>
      <c r="F397" s="36" t="s">
        <v>196</v>
      </c>
      <c r="G397" s="37">
        <f>G398</f>
        <v>575606</v>
      </c>
      <c r="H397" s="37">
        <f t="shared" si="109"/>
        <v>518289</v>
      </c>
      <c r="I397" s="46">
        <f t="shared" si="109"/>
        <v>0</v>
      </c>
    </row>
    <row r="398" spans="1:9" x14ac:dyDescent="0.2">
      <c r="A398" s="35" t="s">
        <v>197</v>
      </c>
      <c r="B398" s="36" t="s">
        <v>402</v>
      </c>
      <c r="C398" s="36" t="s">
        <v>177</v>
      </c>
      <c r="D398" s="36" t="s">
        <v>412</v>
      </c>
      <c r="E398" s="36" t="s">
        <v>427</v>
      </c>
      <c r="F398" s="36" t="s">
        <v>198</v>
      </c>
      <c r="G398" s="37">
        <v>575606</v>
      </c>
      <c r="H398" s="37">
        <v>518289</v>
      </c>
      <c r="I398" s="46">
        <v>0</v>
      </c>
    </row>
    <row r="399" spans="1:9" ht="24" x14ac:dyDescent="0.2">
      <c r="A399" s="29" t="s">
        <v>428</v>
      </c>
      <c r="B399" s="30" t="s">
        <v>402</v>
      </c>
      <c r="C399" s="30" t="s">
        <v>177</v>
      </c>
      <c r="D399" s="30" t="s">
        <v>412</v>
      </c>
      <c r="E399" s="30" t="s">
        <v>429</v>
      </c>
      <c r="F399" s="30"/>
      <c r="G399" s="31">
        <f t="shared" ref="G399:I400" si="110">G400</f>
        <v>3961.9919999999984</v>
      </c>
      <c r="H399" s="45">
        <f t="shared" si="110"/>
        <v>0</v>
      </c>
      <c r="I399" s="45">
        <f t="shared" si="110"/>
        <v>0</v>
      </c>
    </row>
    <row r="400" spans="1:9" x14ac:dyDescent="0.2">
      <c r="A400" s="35" t="s">
        <v>195</v>
      </c>
      <c r="B400" s="36" t="s">
        <v>402</v>
      </c>
      <c r="C400" s="36" t="s">
        <v>177</v>
      </c>
      <c r="D400" s="36" t="s">
        <v>412</v>
      </c>
      <c r="E400" s="36" t="s">
        <v>429</v>
      </c>
      <c r="F400" s="36" t="s">
        <v>196</v>
      </c>
      <c r="G400" s="37">
        <f t="shared" si="110"/>
        <v>3961.9919999999984</v>
      </c>
      <c r="H400" s="46">
        <f t="shared" si="110"/>
        <v>0</v>
      </c>
      <c r="I400" s="46">
        <f t="shared" si="110"/>
        <v>0</v>
      </c>
    </row>
    <row r="401" spans="1:9" x14ac:dyDescent="0.2">
      <c r="A401" s="35" t="s">
        <v>197</v>
      </c>
      <c r="B401" s="36" t="s">
        <v>402</v>
      </c>
      <c r="C401" s="36" t="s">
        <v>177</v>
      </c>
      <c r="D401" s="36" t="s">
        <v>412</v>
      </c>
      <c r="E401" s="36" t="s">
        <v>429</v>
      </c>
      <c r="F401" s="36" t="s">
        <v>198</v>
      </c>
      <c r="G401" s="37">
        <f>9217.732+973+2988.96-9217.7</f>
        <v>3961.9919999999984</v>
      </c>
      <c r="H401" s="46">
        <v>0</v>
      </c>
      <c r="I401" s="46">
        <v>0</v>
      </c>
    </row>
    <row r="402" spans="1:9" x14ac:dyDescent="0.2">
      <c r="A402" s="29" t="s">
        <v>430</v>
      </c>
      <c r="B402" s="30" t="s">
        <v>402</v>
      </c>
      <c r="C402" s="30" t="s">
        <v>177</v>
      </c>
      <c r="D402" s="30" t="s">
        <v>412</v>
      </c>
      <c r="E402" s="30" t="s">
        <v>431</v>
      </c>
      <c r="F402" s="30"/>
      <c r="G402" s="31">
        <f t="shared" ref="G402:I403" si="111">G403</f>
        <v>4500</v>
      </c>
      <c r="H402" s="45">
        <f t="shared" si="111"/>
        <v>0</v>
      </c>
      <c r="I402" s="45">
        <f t="shared" si="111"/>
        <v>0</v>
      </c>
    </row>
    <row r="403" spans="1:9" x14ac:dyDescent="0.2">
      <c r="A403" s="35" t="s">
        <v>195</v>
      </c>
      <c r="B403" s="36" t="s">
        <v>402</v>
      </c>
      <c r="C403" s="36" t="s">
        <v>177</v>
      </c>
      <c r="D403" s="36" t="s">
        <v>412</v>
      </c>
      <c r="E403" s="36" t="s">
        <v>431</v>
      </c>
      <c r="F403" s="36" t="s">
        <v>196</v>
      </c>
      <c r="G403" s="37">
        <f t="shared" si="111"/>
        <v>4500</v>
      </c>
      <c r="H403" s="46">
        <f t="shared" si="111"/>
        <v>0</v>
      </c>
      <c r="I403" s="46">
        <f t="shared" si="111"/>
        <v>0</v>
      </c>
    </row>
    <row r="404" spans="1:9" x14ac:dyDescent="0.2">
      <c r="A404" s="35" t="s">
        <v>197</v>
      </c>
      <c r="B404" s="36" t="s">
        <v>402</v>
      </c>
      <c r="C404" s="36" t="s">
        <v>177</v>
      </c>
      <c r="D404" s="36" t="s">
        <v>412</v>
      </c>
      <c r="E404" s="36" t="s">
        <v>431</v>
      </c>
      <c r="F404" s="36" t="s">
        <v>198</v>
      </c>
      <c r="G404" s="37">
        <v>4500</v>
      </c>
      <c r="H404" s="46">
        <v>0</v>
      </c>
      <c r="I404" s="46">
        <v>0</v>
      </c>
    </row>
    <row r="405" spans="1:9" x14ac:dyDescent="0.2">
      <c r="A405" s="39" t="s">
        <v>432</v>
      </c>
      <c r="B405" s="40" t="s">
        <v>402</v>
      </c>
      <c r="C405" s="40" t="s">
        <v>177</v>
      </c>
      <c r="D405" s="40" t="s">
        <v>412</v>
      </c>
      <c r="E405" s="40" t="s">
        <v>433</v>
      </c>
      <c r="F405" s="40"/>
      <c r="G405" s="41">
        <f>G406</f>
        <v>8386.5789999999997</v>
      </c>
      <c r="H405" s="41">
        <f t="shared" ref="H405:I406" si="112">H406</f>
        <v>8160</v>
      </c>
      <c r="I405" s="41">
        <f t="shared" si="112"/>
        <v>8160</v>
      </c>
    </row>
    <row r="406" spans="1:9" x14ac:dyDescent="0.2">
      <c r="A406" s="60" t="s">
        <v>434</v>
      </c>
      <c r="B406" s="49" t="s">
        <v>402</v>
      </c>
      <c r="C406" s="49" t="s">
        <v>177</v>
      </c>
      <c r="D406" s="49" t="s">
        <v>412</v>
      </c>
      <c r="E406" s="209" t="s">
        <v>435</v>
      </c>
      <c r="F406" s="49"/>
      <c r="G406" s="53">
        <f>G407</f>
        <v>8386.5789999999997</v>
      </c>
      <c r="H406" s="53">
        <f t="shared" si="112"/>
        <v>8160</v>
      </c>
      <c r="I406" s="53">
        <f t="shared" si="112"/>
        <v>8160</v>
      </c>
    </row>
    <row r="407" spans="1:9" x14ac:dyDescent="0.2">
      <c r="A407" s="29" t="s">
        <v>263</v>
      </c>
      <c r="B407" s="30" t="s">
        <v>402</v>
      </c>
      <c r="C407" s="30" t="s">
        <v>177</v>
      </c>
      <c r="D407" s="30" t="s">
        <v>412</v>
      </c>
      <c r="E407" s="30" t="s">
        <v>435</v>
      </c>
      <c r="F407" s="30"/>
      <c r="G407" s="31">
        <f>G408+G410+G412</f>
        <v>8386.5789999999997</v>
      </c>
      <c r="H407" s="31">
        <f>H408+H410+H412</f>
        <v>8160</v>
      </c>
      <c r="I407" s="31">
        <f>I408+I410+I412</f>
        <v>8160</v>
      </c>
    </row>
    <row r="408" spans="1:9" ht="24" x14ac:dyDescent="0.2">
      <c r="A408" s="35" t="s">
        <v>185</v>
      </c>
      <c r="B408" s="36" t="s">
        <v>402</v>
      </c>
      <c r="C408" s="36" t="s">
        <v>177</v>
      </c>
      <c r="D408" s="36" t="s">
        <v>412</v>
      </c>
      <c r="E408" s="36" t="s">
        <v>435</v>
      </c>
      <c r="F408" s="36" t="s">
        <v>186</v>
      </c>
      <c r="G408" s="37">
        <f>G409</f>
        <v>8040.5789999999997</v>
      </c>
      <c r="H408" s="37">
        <f t="shared" ref="H408:I408" si="113">H409</f>
        <v>7914</v>
      </c>
      <c r="I408" s="37">
        <f t="shared" si="113"/>
        <v>7914</v>
      </c>
    </row>
    <row r="409" spans="1:9" x14ac:dyDescent="0.2">
      <c r="A409" s="35" t="s">
        <v>266</v>
      </c>
      <c r="B409" s="36" t="s">
        <v>402</v>
      </c>
      <c r="C409" s="36" t="s">
        <v>177</v>
      </c>
      <c r="D409" s="36" t="s">
        <v>412</v>
      </c>
      <c r="E409" s="36" t="s">
        <v>435</v>
      </c>
      <c r="F409" s="36" t="s">
        <v>267</v>
      </c>
      <c r="G409" s="37">
        <f>7914+126.579</f>
        <v>8040.5789999999997</v>
      </c>
      <c r="H409" s="37">
        <v>7914</v>
      </c>
      <c r="I409" s="37">
        <v>7914</v>
      </c>
    </row>
    <row r="410" spans="1:9" x14ac:dyDescent="0.2">
      <c r="A410" s="35" t="s">
        <v>195</v>
      </c>
      <c r="B410" s="36" t="s">
        <v>402</v>
      </c>
      <c r="C410" s="36" t="s">
        <v>177</v>
      </c>
      <c r="D410" s="36" t="s">
        <v>412</v>
      </c>
      <c r="E410" s="36" t="s">
        <v>435</v>
      </c>
      <c r="F410" s="36" t="s">
        <v>196</v>
      </c>
      <c r="G410" s="37">
        <f>G411</f>
        <v>310</v>
      </c>
      <c r="H410" s="37">
        <f t="shared" ref="H410:I410" si="114">H411</f>
        <v>210</v>
      </c>
      <c r="I410" s="37">
        <f t="shared" si="114"/>
        <v>210</v>
      </c>
    </row>
    <row r="411" spans="1:9" x14ac:dyDescent="0.2">
      <c r="A411" s="35" t="s">
        <v>197</v>
      </c>
      <c r="B411" s="36" t="s">
        <v>402</v>
      </c>
      <c r="C411" s="36" t="s">
        <v>177</v>
      </c>
      <c r="D411" s="36" t="s">
        <v>412</v>
      </c>
      <c r="E411" s="36" t="s">
        <v>435</v>
      </c>
      <c r="F411" s="36" t="s">
        <v>198</v>
      </c>
      <c r="G411" s="37">
        <f>210+100</f>
        <v>310</v>
      </c>
      <c r="H411" s="37">
        <v>210</v>
      </c>
      <c r="I411" s="37">
        <v>210</v>
      </c>
    </row>
    <row r="412" spans="1:9" x14ac:dyDescent="0.2">
      <c r="A412" s="35" t="s">
        <v>199</v>
      </c>
      <c r="B412" s="36" t="s">
        <v>402</v>
      </c>
      <c r="C412" s="36" t="s">
        <v>177</v>
      </c>
      <c r="D412" s="36" t="s">
        <v>412</v>
      </c>
      <c r="E412" s="36" t="s">
        <v>435</v>
      </c>
      <c r="F412" s="36" t="s">
        <v>200</v>
      </c>
      <c r="G412" s="37">
        <f>G413</f>
        <v>36</v>
      </c>
      <c r="H412" s="37">
        <f t="shared" ref="H412:I412" si="115">H413</f>
        <v>36</v>
      </c>
      <c r="I412" s="37">
        <f t="shared" si="115"/>
        <v>36</v>
      </c>
    </row>
    <row r="413" spans="1:9" x14ac:dyDescent="0.2">
      <c r="A413" s="35" t="s">
        <v>201</v>
      </c>
      <c r="B413" s="36" t="s">
        <v>402</v>
      </c>
      <c r="C413" s="36" t="s">
        <v>177</v>
      </c>
      <c r="D413" s="36" t="s">
        <v>412</v>
      </c>
      <c r="E413" s="36" t="s">
        <v>435</v>
      </c>
      <c r="F413" s="36" t="s">
        <v>202</v>
      </c>
      <c r="G413" s="37">
        <v>36</v>
      </c>
      <c r="H413" s="37">
        <v>36</v>
      </c>
      <c r="I413" s="37">
        <v>36</v>
      </c>
    </row>
    <row r="414" spans="1:9" ht="15.75" x14ac:dyDescent="0.2">
      <c r="A414" s="200" t="s">
        <v>436</v>
      </c>
      <c r="B414" s="207" t="s">
        <v>437</v>
      </c>
      <c r="C414" s="205"/>
      <c r="D414" s="205"/>
      <c r="E414" s="205"/>
      <c r="F414" s="205"/>
      <c r="G414" s="201">
        <f>G415+G423</f>
        <v>337094.67176</v>
      </c>
      <c r="H414" s="201">
        <f>H415+H423</f>
        <v>241524.5</v>
      </c>
      <c r="I414" s="201">
        <f>I415+I423</f>
        <v>244991.5</v>
      </c>
    </row>
    <row r="415" spans="1:9" x14ac:dyDescent="0.2">
      <c r="A415" s="29" t="s">
        <v>374</v>
      </c>
      <c r="B415" s="30">
        <v>603</v>
      </c>
      <c r="C415" s="30" t="s">
        <v>375</v>
      </c>
      <c r="D415" s="30" t="s">
        <v>174</v>
      </c>
      <c r="E415" s="30"/>
      <c r="F415" s="30"/>
      <c r="G415" s="31">
        <f t="shared" ref="G415:I421" si="116">G416</f>
        <v>118245.9</v>
      </c>
      <c r="H415" s="31">
        <f t="shared" si="116"/>
        <v>102045.9</v>
      </c>
      <c r="I415" s="31">
        <f t="shared" si="116"/>
        <v>102045.9</v>
      </c>
    </row>
    <row r="416" spans="1:9" x14ac:dyDescent="0.2">
      <c r="A416" s="29" t="s">
        <v>438</v>
      </c>
      <c r="B416" s="30">
        <v>603</v>
      </c>
      <c r="C416" s="30" t="s">
        <v>375</v>
      </c>
      <c r="D416" s="30" t="s">
        <v>283</v>
      </c>
      <c r="E416" s="30"/>
      <c r="F416" s="30"/>
      <c r="G416" s="31">
        <f t="shared" si="116"/>
        <v>118245.9</v>
      </c>
      <c r="H416" s="31">
        <f t="shared" si="116"/>
        <v>102045.9</v>
      </c>
      <c r="I416" s="31">
        <f t="shared" si="116"/>
        <v>102045.9</v>
      </c>
    </row>
    <row r="417" spans="1:9" x14ac:dyDescent="0.2">
      <c r="A417" s="39" t="s">
        <v>439</v>
      </c>
      <c r="B417" s="40" t="s">
        <v>437</v>
      </c>
      <c r="C417" s="40" t="s">
        <v>375</v>
      </c>
      <c r="D417" s="40" t="s">
        <v>283</v>
      </c>
      <c r="E417" s="40" t="s">
        <v>440</v>
      </c>
      <c r="F417" s="40"/>
      <c r="G417" s="41">
        <f t="shared" si="116"/>
        <v>118245.9</v>
      </c>
      <c r="H417" s="41">
        <f t="shared" si="116"/>
        <v>102045.9</v>
      </c>
      <c r="I417" s="41">
        <f t="shared" si="116"/>
        <v>102045.9</v>
      </c>
    </row>
    <row r="418" spans="1:9" x14ac:dyDescent="0.2">
      <c r="A418" s="29" t="s">
        <v>441</v>
      </c>
      <c r="B418" s="30" t="s">
        <v>437</v>
      </c>
      <c r="C418" s="30" t="s">
        <v>375</v>
      </c>
      <c r="D418" s="30" t="s">
        <v>283</v>
      </c>
      <c r="E418" s="30" t="s">
        <v>442</v>
      </c>
      <c r="F418" s="30"/>
      <c r="G418" s="31">
        <f t="shared" si="116"/>
        <v>118245.9</v>
      </c>
      <c r="H418" s="31">
        <f t="shared" si="116"/>
        <v>102045.9</v>
      </c>
      <c r="I418" s="31">
        <f t="shared" si="116"/>
        <v>102045.9</v>
      </c>
    </row>
    <row r="419" spans="1:9" ht="24" x14ac:dyDescent="0.2">
      <c r="A419" s="29" t="s">
        <v>443</v>
      </c>
      <c r="B419" s="30" t="s">
        <v>437</v>
      </c>
      <c r="C419" s="30" t="s">
        <v>375</v>
      </c>
      <c r="D419" s="30" t="s">
        <v>283</v>
      </c>
      <c r="E419" s="30" t="s">
        <v>444</v>
      </c>
      <c r="F419" s="30"/>
      <c r="G419" s="31">
        <f t="shared" si="116"/>
        <v>118245.9</v>
      </c>
      <c r="H419" s="31">
        <f t="shared" si="116"/>
        <v>102045.9</v>
      </c>
      <c r="I419" s="31">
        <f t="shared" si="116"/>
        <v>102045.9</v>
      </c>
    </row>
    <row r="420" spans="1:9" ht="24" x14ac:dyDescent="0.2">
      <c r="A420" s="52" t="s">
        <v>445</v>
      </c>
      <c r="B420" s="49" t="s">
        <v>437</v>
      </c>
      <c r="C420" s="49" t="s">
        <v>375</v>
      </c>
      <c r="D420" s="49" t="s">
        <v>283</v>
      </c>
      <c r="E420" s="49" t="s">
        <v>444</v>
      </c>
      <c r="F420" s="49"/>
      <c r="G420" s="53">
        <f t="shared" si="116"/>
        <v>118245.9</v>
      </c>
      <c r="H420" s="53">
        <f t="shared" si="116"/>
        <v>102045.9</v>
      </c>
      <c r="I420" s="53">
        <f t="shared" si="116"/>
        <v>102045.9</v>
      </c>
    </row>
    <row r="421" spans="1:9" x14ac:dyDescent="0.2">
      <c r="A421" s="35" t="s">
        <v>356</v>
      </c>
      <c r="B421" s="36" t="s">
        <v>437</v>
      </c>
      <c r="C421" s="36" t="s">
        <v>375</v>
      </c>
      <c r="D421" s="36" t="s">
        <v>283</v>
      </c>
      <c r="E421" s="36" t="s">
        <v>444</v>
      </c>
      <c r="F421" s="36" t="s">
        <v>357</v>
      </c>
      <c r="G421" s="37">
        <f t="shared" si="116"/>
        <v>118245.9</v>
      </c>
      <c r="H421" s="37">
        <f t="shared" si="116"/>
        <v>102045.9</v>
      </c>
      <c r="I421" s="37">
        <f t="shared" si="116"/>
        <v>102045.9</v>
      </c>
    </row>
    <row r="422" spans="1:9" x14ac:dyDescent="0.2">
      <c r="A422" s="35" t="s">
        <v>358</v>
      </c>
      <c r="B422" s="36" t="s">
        <v>437</v>
      </c>
      <c r="C422" s="36" t="s">
        <v>375</v>
      </c>
      <c r="D422" s="36" t="s">
        <v>283</v>
      </c>
      <c r="E422" s="36" t="s">
        <v>444</v>
      </c>
      <c r="F422" s="36" t="s">
        <v>359</v>
      </c>
      <c r="G422" s="37">
        <f>102045.9+15500+700</f>
        <v>118245.9</v>
      </c>
      <c r="H422" s="37">
        <v>102045.9</v>
      </c>
      <c r="I422" s="37">
        <v>102045.9</v>
      </c>
    </row>
    <row r="423" spans="1:9" x14ac:dyDescent="0.2">
      <c r="A423" s="29" t="s">
        <v>446</v>
      </c>
      <c r="B423" s="30">
        <v>603</v>
      </c>
      <c r="C423" s="30" t="s">
        <v>404</v>
      </c>
      <c r="D423" s="30" t="s">
        <v>174</v>
      </c>
      <c r="E423" s="30"/>
      <c r="F423" s="30"/>
      <c r="G423" s="31">
        <f>G424+G477</f>
        <v>218848.77176</v>
      </c>
      <c r="H423" s="31">
        <f>H424+H477</f>
        <v>139478.6</v>
      </c>
      <c r="I423" s="31">
        <f>I424+I477</f>
        <v>142945.60000000001</v>
      </c>
    </row>
    <row r="424" spans="1:9" x14ac:dyDescent="0.2">
      <c r="A424" s="29" t="s">
        <v>447</v>
      </c>
      <c r="B424" s="30">
        <v>603</v>
      </c>
      <c r="C424" s="30" t="s">
        <v>404</v>
      </c>
      <c r="D424" s="30" t="s">
        <v>173</v>
      </c>
      <c r="E424" s="30"/>
      <c r="F424" s="30"/>
      <c r="G424" s="31">
        <f>G425</f>
        <v>210209.67285</v>
      </c>
      <c r="H424" s="31">
        <f t="shared" ref="H424:I424" si="117">H425</f>
        <v>133068.1</v>
      </c>
      <c r="I424" s="31">
        <f t="shared" si="117"/>
        <v>136535.1</v>
      </c>
    </row>
    <row r="425" spans="1:9" x14ac:dyDescent="0.2">
      <c r="A425" s="39" t="s">
        <v>439</v>
      </c>
      <c r="B425" s="40" t="s">
        <v>437</v>
      </c>
      <c r="C425" s="40" t="s">
        <v>404</v>
      </c>
      <c r="D425" s="40" t="s">
        <v>173</v>
      </c>
      <c r="E425" s="40" t="s">
        <v>440</v>
      </c>
      <c r="F425" s="40"/>
      <c r="G425" s="41">
        <f>G426+G459</f>
        <v>210209.67285</v>
      </c>
      <c r="H425" s="41">
        <f>H426+H459</f>
        <v>133068.1</v>
      </c>
      <c r="I425" s="41">
        <f>I426+I459</f>
        <v>136535.1</v>
      </c>
    </row>
    <row r="426" spans="1:9" x14ac:dyDescent="0.2">
      <c r="A426" s="39" t="s">
        <v>448</v>
      </c>
      <c r="B426" s="40" t="s">
        <v>437</v>
      </c>
      <c r="C426" s="40" t="s">
        <v>404</v>
      </c>
      <c r="D426" s="40" t="s">
        <v>173</v>
      </c>
      <c r="E426" s="40" t="s">
        <v>449</v>
      </c>
      <c r="F426" s="40"/>
      <c r="G426" s="41">
        <f>G427+G430+G433+G438+G441+G444+G447+G450+G453+G456</f>
        <v>68957.06</v>
      </c>
      <c r="H426" s="41">
        <f>H427+H430+H433+H438+H441+H444+H447+H450+H453+H456</f>
        <v>25510</v>
      </c>
      <c r="I426" s="41">
        <f>I427+I430+I433+I438+I441+I444+I447+I450+I453+I456</f>
        <v>25810</v>
      </c>
    </row>
    <row r="427" spans="1:9" x14ac:dyDescent="0.2">
      <c r="A427" s="29" t="s">
        <v>450</v>
      </c>
      <c r="B427" s="30" t="s">
        <v>437</v>
      </c>
      <c r="C427" s="30" t="s">
        <v>404</v>
      </c>
      <c r="D427" s="30" t="s">
        <v>173</v>
      </c>
      <c r="E427" s="30" t="s">
        <v>451</v>
      </c>
      <c r="F427" s="30"/>
      <c r="G427" s="31">
        <f>G428</f>
        <v>63110</v>
      </c>
      <c r="H427" s="31">
        <f t="shared" ref="H427:I428" si="118">H428</f>
        <v>21810</v>
      </c>
      <c r="I427" s="31">
        <f t="shared" si="118"/>
        <v>21810</v>
      </c>
    </row>
    <row r="428" spans="1:9" x14ac:dyDescent="0.2">
      <c r="A428" s="35" t="s">
        <v>195</v>
      </c>
      <c r="B428" s="36" t="s">
        <v>437</v>
      </c>
      <c r="C428" s="36" t="s">
        <v>404</v>
      </c>
      <c r="D428" s="36" t="s">
        <v>173</v>
      </c>
      <c r="E428" s="36" t="s">
        <v>451</v>
      </c>
      <c r="F428" s="36" t="s">
        <v>196</v>
      </c>
      <c r="G428" s="37">
        <f>G429</f>
        <v>63110</v>
      </c>
      <c r="H428" s="37">
        <f t="shared" si="118"/>
        <v>21810</v>
      </c>
      <c r="I428" s="37">
        <f t="shared" si="118"/>
        <v>21810</v>
      </c>
    </row>
    <row r="429" spans="1:9" x14ac:dyDescent="0.2">
      <c r="A429" s="35" t="s">
        <v>197</v>
      </c>
      <c r="B429" s="36" t="s">
        <v>437</v>
      </c>
      <c r="C429" s="36" t="s">
        <v>404</v>
      </c>
      <c r="D429" s="36" t="s">
        <v>173</v>
      </c>
      <c r="E429" s="36" t="s">
        <v>451</v>
      </c>
      <c r="F429" s="36" t="s">
        <v>198</v>
      </c>
      <c r="G429" s="37">
        <f>26810+30000+6300</f>
        <v>63110</v>
      </c>
      <c r="H429" s="37">
        <f>26810-5000</f>
        <v>21810</v>
      </c>
      <c r="I429" s="37">
        <f>26810-5000</f>
        <v>21810</v>
      </c>
    </row>
    <row r="430" spans="1:9" x14ac:dyDescent="0.2">
      <c r="A430" s="50" t="s">
        <v>452</v>
      </c>
      <c r="B430" s="30" t="s">
        <v>437</v>
      </c>
      <c r="C430" s="30" t="s">
        <v>404</v>
      </c>
      <c r="D430" s="30" t="s">
        <v>173</v>
      </c>
      <c r="E430" s="30" t="s">
        <v>453</v>
      </c>
      <c r="F430" s="36"/>
      <c r="G430" s="31">
        <f>G431</f>
        <v>350</v>
      </c>
      <c r="H430" s="31">
        <f t="shared" ref="H430:I431" si="119">H431</f>
        <v>400</v>
      </c>
      <c r="I430" s="31">
        <f t="shared" si="119"/>
        <v>400</v>
      </c>
    </row>
    <row r="431" spans="1:9" x14ac:dyDescent="0.2">
      <c r="A431" s="35" t="s">
        <v>195</v>
      </c>
      <c r="B431" s="36" t="s">
        <v>437</v>
      </c>
      <c r="C431" s="36" t="s">
        <v>404</v>
      </c>
      <c r="D431" s="36" t="s">
        <v>173</v>
      </c>
      <c r="E431" s="36" t="s">
        <v>453</v>
      </c>
      <c r="F431" s="36" t="s">
        <v>196</v>
      </c>
      <c r="G431" s="37">
        <f>G432</f>
        <v>350</v>
      </c>
      <c r="H431" s="37">
        <f t="shared" si="119"/>
        <v>400</v>
      </c>
      <c r="I431" s="37">
        <f t="shared" si="119"/>
        <v>400</v>
      </c>
    </row>
    <row r="432" spans="1:9" x14ac:dyDescent="0.2">
      <c r="A432" s="35" t="s">
        <v>197</v>
      </c>
      <c r="B432" s="36" t="s">
        <v>437</v>
      </c>
      <c r="C432" s="36" t="s">
        <v>404</v>
      </c>
      <c r="D432" s="36" t="s">
        <v>173</v>
      </c>
      <c r="E432" s="36" t="s">
        <v>453</v>
      </c>
      <c r="F432" s="36" t="s">
        <v>198</v>
      </c>
      <c r="G432" s="37">
        <v>350</v>
      </c>
      <c r="H432" s="37">
        <v>400</v>
      </c>
      <c r="I432" s="37">
        <v>400</v>
      </c>
    </row>
    <row r="433" spans="1:9" ht="24" x14ac:dyDescent="0.2">
      <c r="A433" s="29" t="s">
        <v>454</v>
      </c>
      <c r="B433" s="30" t="s">
        <v>437</v>
      </c>
      <c r="C433" s="30" t="s">
        <v>404</v>
      </c>
      <c r="D433" s="30" t="s">
        <v>173</v>
      </c>
      <c r="E433" s="30" t="s">
        <v>455</v>
      </c>
      <c r="F433" s="30"/>
      <c r="G433" s="31">
        <f>G434+G436</f>
        <v>200</v>
      </c>
      <c r="H433" s="31">
        <f>H434+H436</f>
        <v>200</v>
      </c>
      <c r="I433" s="31">
        <f>I434+I436</f>
        <v>200</v>
      </c>
    </row>
    <row r="434" spans="1:9" x14ac:dyDescent="0.2">
      <c r="A434" s="35" t="s">
        <v>195</v>
      </c>
      <c r="B434" s="36" t="s">
        <v>437</v>
      </c>
      <c r="C434" s="36" t="s">
        <v>404</v>
      </c>
      <c r="D434" s="36" t="s">
        <v>173</v>
      </c>
      <c r="E434" s="36" t="s">
        <v>455</v>
      </c>
      <c r="F434" s="36" t="s">
        <v>196</v>
      </c>
      <c r="G434" s="37">
        <f>G435</f>
        <v>100</v>
      </c>
      <c r="H434" s="37">
        <f t="shared" ref="H434:I434" si="120">H435</f>
        <v>200</v>
      </c>
      <c r="I434" s="37">
        <f t="shared" si="120"/>
        <v>200</v>
      </c>
    </row>
    <row r="435" spans="1:9" x14ac:dyDescent="0.2">
      <c r="A435" s="35" t="s">
        <v>197</v>
      </c>
      <c r="B435" s="36" t="s">
        <v>437</v>
      </c>
      <c r="C435" s="36" t="s">
        <v>404</v>
      </c>
      <c r="D435" s="36" t="s">
        <v>173</v>
      </c>
      <c r="E435" s="36" t="s">
        <v>455</v>
      </c>
      <c r="F435" s="36" t="s">
        <v>198</v>
      </c>
      <c r="G435" s="37">
        <v>100</v>
      </c>
      <c r="H435" s="37">
        <v>200</v>
      </c>
      <c r="I435" s="37">
        <v>200</v>
      </c>
    </row>
    <row r="436" spans="1:9" x14ac:dyDescent="0.2">
      <c r="A436" s="35" t="s">
        <v>325</v>
      </c>
      <c r="B436" s="36" t="s">
        <v>437</v>
      </c>
      <c r="C436" s="36" t="s">
        <v>404</v>
      </c>
      <c r="D436" s="36" t="s">
        <v>173</v>
      </c>
      <c r="E436" s="36" t="s">
        <v>455</v>
      </c>
      <c r="F436" s="36" t="s">
        <v>326</v>
      </c>
      <c r="G436" s="37">
        <f>G437</f>
        <v>100</v>
      </c>
      <c r="H436" s="46">
        <f t="shared" ref="H436:I436" si="121">H437</f>
        <v>0</v>
      </c>
      <c r="I436" s="46">
        <f t="shared" si="121"/>
        <v>0</v>
      </c>
    </row>
    <row r="437" spans="1:9" x14ac:dyDescent="0.2">
      <c r="A437" s="35" t="s">
        <v>456</v>
      </c>
      <c r="B437" s="36" t="s">
        <v>437</v>
      </c>
      <c r="C437" s="36" t="s">
        <v>404</v>
      </c>
      <c r="D437" s="36" t="s">
        <v>173</v>
      </c>
      <c r="E437" s="36" t="s">
        <v>455</v>
      </c>
      <c r="F437" s="36" t="s">
        <v>457</v>
      </c>
      <c r="G437" s="37">
        <v>100</v>
      </c>
      <c r="H437" s="46">
        <v>0</v>
      </c>
      <c r="I437" s="46">
        <v>0</v>
      </c>
    </row>
    <row r="438" spans="1:9" ht="24" x14ac:dyDescent="0.2">
      <c r="A438" s="29" t="s">
        <v>458</v>
      </c>
      <c r="B438" s="30" t="s">
        <v>437</v>
      </c>
      <c r="C438" s="30" t="s">
        <v>404</v>
      </c>
      <c r="D438" s="30" t="s">
        <v>173</v>
      </c>
      <c r="E438" s="30" t="s">
        <v>459</v>
      </c>
      <c r="F438" s="30"/>
      <c r="G438" s="31">
        <f>G439</f>
        <v>300</v>
      </c>
      <c r="H438" s="31">
        <f t="shared" ref="H438:I439" si="122">H439</f>
        <v>1000</v>
      </c>
      <c r="I438" s="31">
        <f t="shared" si="122"/>
        <v>1000</v>
      </c>
    </row>
    <row r="439" spans="1:9" x14ac:dyDescent="0.2">
      <c r="A439" s="35" t="s">
        <v>195</v>
      </c>
      <c r="B439" s="36" t="s">
        <v>437</v>
      </c>
      <c r="C439" s="36" t="s">
        <v>404</v>
      </c>
      <c r="D439" s="36" t="s">
        <v>173</v>
      </c>
      <c r="E439" s="36" t="s">
        <v>459</v>
      </c>
      <c r="F439" s="36" t="s">
        <v>196</v>
      </c>
      <c r="G439" s="37">
        <f>G440</f>
        <v>300</v>
      </c>
      <c r="H439" s="37">
        <f t="shared" si="122"/>
        <v>1000</v>
      </c>
      <c r="I439" s="37">
        <f t="shared" si="122"/>
        <v>1000</v>
      </c>
    </row>
    <row r="440" spans="1:9" x14ac:dyDescent="0.2">
      <c r="A440" s="35" t="s">
        <v>197</v>
      </c>
      <c r="B440" s="36" t="s">
        <v>437</v>
      </c>
      <c r="C440" s="36" t="s">
        <v>404</v>
      </c>
      <c r="D440" s="36" t="s">
        <v>173</v>
      </c>
      <c r="E440" s="36" t="s">
        <v>459</v>
      </c>
      <c r="F440" s="36" t="s">
        <v>198</v>
      </c>
      <c r="G440" s="37">
        <v>300</v>
      </c>
      <c r="H440" s="37">
        <v>1000</v>
      </c>
      <c r="I440" s="37">
        <v>1000</v>
      </c>
    </row>
    <row r="441" spans="1:9" ht="24" x14ac:dyDescent="0.2">
      <c r="A441" s="29" t="s">
        <v>460</v>
      </c>
      <c r="B441" s="30" t="s">
        <v>437</v>
      </c>
      <c r="C441" s="30" t="s">
        <v>404</v>
      </c>
      <c r="D441" s="30" t="s">
        <v>173</v>
      </c>
      <c r="E441" s="30" t="s">
        <v>461</v>
      </c>
      <c r="F441" s="30"/>
      <c r="G441" s="31">
        <f>G442</f>
        <v>1200</v>
      </c>
      <c r="H441" s="31">
        <f t="shared" ref="H441:I442" si="123">H442</f>
        <v>700</v>
      </c>
      <c r="I441" s="31">
        <f t="shared" si="123"/>
        <v>500</v>
      </c>
    </row>
    <row r="442" spans="1:9" x14ac:dyDescent="0.2">
      <c r="A442" s="35" t="s">
        <v>195</v>
      </c>
      <c r="B442" s="36" t="s">
        <v>437</v>
      </c>
      <c r="C442" s="36" t="s">
        <v>404</v>
      </c>
      <c r="D442" s="36" t="s">
        <v>173</v>
      </c>
      <c r="E442" s="36" t="s">
        <v>461</v>
      </c>
      <c r="F442" s="36" t="s">
        <v>196</v>
      </c>
      <c r="G442" s="37">
        <f>G443</f>
        <v>1200</v>
      </c>
      <c r="H442" s="37">
        <f t="shared" si="123"/>
        <v>700</v>
      </c>
      <c r="I442" s="37">
        <f t="shared" si="123"/>
        <v>500</v>
      </c>
    </row>
    <row r="443" spans="1:9" x14ac:dyDescent="0.2">
      <c r="A443" s="35" t="s">
        <v>197</v>
      </c>
      <c r="B443" s="36" t="s">
        <v>437</v>
      </c>
      <c r="C443" s="36" t="s">
        <v>404</v>
      </c>
      <c r="D443" s="36" t="s">
        <v>173</v>
      </c>
      <c r="E443" s="36" t="s">
        <v>461</v>
      </c>
      <c r="F443" s="36" t="s">
        <v>198</v>
      </c>
      <c r="G443" s="37">
        <v>1200</v>
      </c>
      <c r="H443" s="37">
        <v>700</v>
      </c>
      <c r="I443" s="37">
        <v>500</v>
      </c>
    </row>
    <row r="444" spans="1:9" ht="24" x14ac:dyDescent="0.2">
      <c r="A444" s="29" t="s">
        <v>462</v>
      </c>
      <c r="B444" s="30" t="s">
        <v>437</v>
      </c>
      <c r="C444" s="30" t="s">
        <v>404</v>
      </c>
      <c r="D444" s="30" t="s">
        <v>173</v>
      </c>
      <c r="E444" s="30" t="s">
        <v>463</v>
      </c>
      <c r="F444" s="30"/>
      <c r="G444" s="45">
        <f>G445</f>
        <v>0</v>
      </c>
      <c r="H444" s="45">
        <f t="shared" ref="H444:I445" si="124">H445</f>
        <v>0</v>
      </c>
      <c r="I444" s="31">
        <f t="shared" si="124"/>
        <v>500</v>
      </c>
    </row>
    <row r="445" spans="1:9" x14ac:dyDescent="0.2">
      <c r="A445" s="35" t="s">
        <v>195</v>
      </c>
      <c r="B445" s="36" t="s">
        <v>437</v>
      </c>
      <c r="C445" s="36" t="s">
        <v>404</v>
      </c>
      <c r="D445" s="36" t="s">
        <v>173</v>
      </c>
      <c r="E445" s="36" t="s">
        <v>463</v>
      </c>
      <c r="F445" s="36" t="s">
        <v>196</v>
      </c>
      <c r="G445" s="46">
        <f>G446</f>
        <v>0</v>
      </c>
      <c r="H445" s="46">
        <f t="shared" si="124"/>
        <v>0</v>
      </c>
      <c r="I445" s="37">
        <f t="shared" si="124"/>
        <v>500</v>
      </c>
    </row>
    <row r="446" spans="1:9" x14ac:dyDescent="0.2">
      <c r="A446" s="35" t="s">
        <v>197</v>
      </c>
      <c r="B446" s="36" t="s">
        <v>437</v>
      </c>
      <c r="C446" s="36" t="s">
        <v>404</v>
      </c>
      <c r="D446" s="36" t="s">
        <v>173</v>
      </c>
      <c r="E446" s="36" t="s">
        <v>463</v>
      </c>
      <c r="F446" s="36" t="s">
        <v>198</v>
      </c>
      <c r="G446" s="46">
        <v>0</v>
      </c>
      <c r="H446" s="46">
        <v>0</v>
      </c>
      <c r="I446" s="37">
        <v>500</v>
      </c>
    </row>
    <row r="447" spans="1:9" x14ac:dyDescent="0.2">
      <c r="A447" s="29" t="s">
        <v>464</v>
      </c>
      <c r="B447" s="30" t="s">
        <v>437</v>
      </c>
      <c r="C447" s="30" t="s">
        <v>404</v>
      </c>
      <c r="D447" s="30" t="s">
        <v>173</v>
      </c>
      <c r="E447" s="30" t="s">
        <v>465</v>
      </c>
      <c r="F447" s="30"/>
      <c r="G447" s="31">
        <f>G448</f>
        <v>500</v>
      </c>
      <c r="H447" s="31">
        <f t="shared" ref="H447:I448" si="125">H448</f>
        <v>500</v>
      </c>
      <c r="I447" s="31">
        <f t="shared" si="125"/>
        <v>500</v>
      </c>
    </row>
    <row r="448" spans="1:9" x14ac:dyDescent="0.2">
      <c r="A448" s="35" t="s">
        <v>195</v>
      </c>
      <c r="B448" s="36" t="s">
        <v>437</v>
      </c>
      <c r="C448" s="36" t="s">
        <v>404</v>
      </c>
      <c r="D448" s="36" t="s">
        <v>173</v>
      </c>
      <c r="E448" s="36" t="s">
        <v>465</v>
      </c>
      <c r="F448" s="36" t="s">
        <v>196</v>
      </c>
      <c r="G448" s="37">
        <f>G449</f>
        <v>500</v>
      </c>
      <c r="H448" s="37">
        <f t="shared" si="125"/>
        <v>500</v>
      </c>
      <c r="I448" s="37">
        <f t="shared" si="125"/>
        <v>500</v>
      </c>
    </row>
    <row r="449" spans="1:9" x14ac:dyDescent="0.2">
      <c r="A449" s="35" t="s">
        <v>197</v>
      </c>
      <c r="B449" s="36" t="s">
        <v>437</v>
      </c>
      <c r="C449" s="36" t="s">
        <v>404</v>
      </c>
      <c r="D449" s="36" t="s">
        <v>173</v>
      </c>
      <c r="E449" s="36" t="s">
        <v>465</v>
      </c>
      <c r="F449" s="36" t="s">
        <v>198</v>
      </c>
      <c r="G449" s="37">
        <v>500</v>
      </c>
      <c r="H449" s="37">
        <v>500</v>
      </c>
      <c r="I449" s="37">
        <v>500</v>
      </c>
    </row>
    <row r="450" spans="1:9" x14ac:dyDescent="0.2">
      <c r="A450" s="29" t="s">
        <v>466</v>
      </c>
      <c r="B450" s="30" t="s">
        <v>437</v>
      </c>
      <c r="C450" s="30" t="s">
        <v>404</v>
      </c>
      <c r="D450" s="30" t="s">
        <v>173</v>
      </c>
      <c r="E450" s="30" t="s">
        <v>467</v>
      </c>
      <c r="F450" s="30"/>
      <c r="G450" s="31">
        <f>G451</f>
        <v>400</v>
      </c>
      <c r="H450" s="31">
        <f t="shared" ref="H450:I451" si="126">H451</f>
        <v>400</v>
      </c>
      <c r="I450" s="31">
        <f t="shared" si="126"/>
        <v>400</v>
      </c>
    </row>
    <row r="451" spans="1:9" x14ac:dyDescent="0.2">
      <c r="A451" s="35" t="s">
        <v>195</v>
      </c>
      <c r="B451" s="36" t="s">
        <v>437</v>
      </c>
      <c r="C451" s="36" t="s">
        <v>404</v>
      </c>
      <c r="D451" s="36" t="s">
        <v>173</v>
      </c>
      <c r="E451" s="36" t="s">
        <v>467</v>
      </c>
      <c r="F451" s="36" t="s">
        <v>196</v>
      </c>
      <c r="G451" s="37">
        <f>G452</f>
        <v>400</v>
      </c>
      <c r="H451" s="37">
        <f t="shared" si="126"/>
        <v>400</v>
      </c>
      <c r="I451" s="37">
        <f t="shared" si="126"/>
        <v>400</v>
      </c>
    </row>
    <row r="452" spans="1:9" x14ac:dyDescent="0.2">
      <c r="A452" s="35" t="s">
        <v>197</v>
      </c>
      <c r="B452" s="36" t="s">
        <v>437</v>
      </c>
      <c r="C452" s="36" t="s">
        <v>404</v>
      </c>
      <c r="D452" s="36" t="s">
        <v>173</v>
      </c>
      <c r="E452" s="36" t="s">
        <v>467</v>
      </c>
      <c r="F452" s="36" t="s">
        <v>198</v>
      </c>
      <c r="G452" s="37">
        <v>400</v>
      </c>
      <c r="H452" s="37">
        <v>400</v>
      </c>
      <c r="I452" s="37">
        <v>400</v>
      </c>
    </row>
    <row r="453" spans="1:9" s="193" customFormat="1" ht="24" x14ac:dyDescent="0.2">
      <c r="A453" s="29" t="s">
        <v>468</v>
      </c>
      <c r="B453" s="30" t="s">
        <v>437</v>
      </c>
      <c r="C453" s="30" t="s">
        <v>404</v>
      </c>
      <c r="D453" s="30" t="s">
        <v>173</v>
      </c>
      <c r="E453" s="30" t="s">
        <v>469</v>
      </c>
      <c r="F453" s="36"/>
      <c r="G453" s="31">
        <f>G454</f>
        <v>500</v>
      </c>
      <c r="H453" s="31">
        <f t="shared" ref="H453:I454" si="127">H454</f>
        <v>500</v>
      </c>
      <c r="I453" s="31">
        <f t="shared" si="127"/>
        <v>500</v>
      </c>
    </row>
    <row r="454" spans="1:9" s="192" customFormat="1" x14ac:dyDescent="0.2">
      <c r="A454" s="35" t="s">
        <v>356</v>
      </c>
      <c r="B454" s="36" t="s">
        <v>437</v>
      </c>
      <c r="C454" s="36" t="s">
        <v>404</v>
      </c>
      <c r="D454" s="36" t="s">
        <v>173</v>
      </c>
      <c r="E454" s="36" t="s">
        <v>469</v>
      </c>
      <c r="F454" s="36" t="s">
        <v>357</v>
      </c>
      <c r="G454" s="37">
        <f>G455</f>
        <v>500</v>
      </c>
      <c r="H454" s="37">
        <f t="shared" si="127"/>
        <v>500</v>
      </c>
      <c r="I454" s="37">
        <f t="shared" si="127"/>
        <v>500</v>
      </c>
    </row>
    <row r="455" spans="1:9" s="192" customFormat="1" ht="24" x14ac:dyDescent="0.2">
      <c r="A455" s="68" t="s">
        <v>470</v>
      </c>
      <c r="B455" s="36" t="s">
        <v>437</v>
      </c>
      <c r="C455" s="36" t="s">
        <v>404</v>
      </c>
      <c r="D455" s="36" t="s">
        <v>173</v>
      </c>
      <c r="E455" s="36" t="s">
        <v>469</v>
      </c>
      <c r="F455" s="36" t="s">
        <v>471</v>
      </c>
      <c r="G455" s="37">
        <v>500</v>
      </c>
      <c r="H455" s="37">
        <v>500</v>
      </c>
      <c r="I455" s="37">
        <v>500</v>
      </c>
    </row>
    <row r="456" spans="1:9" x14ac:dyDescent="0.2">
      <c r="A456" s="50" t="s">
        <v>472</v>
      </c>
      <c r="B456" s="30" t="s">
        <v>437</v>
      </c>
      <c r="C456" s="30" t="s">
        <v>404</v>
      </c>
      <c r="D456" s="30" t="s">
        <v>173</v>
      </c>
      <c r="E456" s="30" t="s">
        <v>473</v>
      </c>
      <c r="F456" s="30"/>
      <c r="G456" s="31">
        <f t="shared" ref="G456:I457" si="128">G457</f>
        <v>2397.06</v>
      </c>
      <c r="H456" s="45">
        <f t="shared" si="128"/>
        <v>0</v>
      </c>
      <c r="I456" s="45">
        <f t="shared" si="128"/>
        <v>0</v>
      </c>
    </row>
    <row r="457" spans="1:9" x14ac:dyDescent="0.2">
      <c r="A457" s="35" t="s">
        <v>195</v>
      </c>
      <c r="B457" s="36" t="s">
        <v>437</v>
      </c>
      <c r="C457" s="36" t="s">
        <v>404</v>
      </c>
      <c r="D457" s="36" t="s">
        <v>173</v>
      </c>
      <c r="E457" s="36" t="s">
        <v>473</v>
      </c>
      <c r="F457" s="36" t="s">
        <v>196</v>
      </c>
      <c r="G457" s="37">
        <f t="shared" si="128"/>
        <v>2397.06</v>
      </c>
      <c r="H457" s="46">
        <f t="shared" si="128"/>
        <v>0</v>
      </c>
      <c r="I457" s="46">
        <f t="shared" si="128"/>
        <v>0</v>
      </c>
    </row>
    <row r="458" spans="1:9" x14ac:dyDescent="0.2">
      <c r="A458" s="35" t="s">
        <v>197</v>
      </c>
      <c r="B458" s="36" t="s">
        <v>437</v>
      </c>
      <c r="C458" s="36" t="s">
        <v>404</v>
      </c>
      <c r="D458" s="36" t="s">
        <v>173</v>
      </c>
      <c r="E458" s="36" t="s">
        <v>473</v>
      </c>
      <c r="F458" s="36" t="s">
        <v>198</v>
      </c>
      <c r="G458" s="37">
        <v>2397.06</v>
      </c>
      <c r="H458" s="46">
        <v>0</v>
      </c>
      <c r="I458" s="46">
        <v>0</v>
      </c>
    </row>
    <row r="459" spans="1:9" x14ac:dyDescent="0.2">
      <c r="A459" s="29" t="s">
        <v>441</v>
      </c>
      <c r="B459" s="30" t="s">
        <v>437</v>
      </c>
      <c r="C459" s="30" t="s">
        <v>404</v>
      </c>
      <c r="D459" s="30" t="s">
        <v>173</v>
      </c>
      <c r="E459" s="30" t="s">
        <v>442</v>
      </c>
      <c r="F459" s="30"/>
      <c r="G459" s="31">
        <f>G460+G464</f>
        <v>141252.61285</v>
      </c>
      <c r="H459" s="31">
        <f>H460+H464</f>
        <v>107558.1</v>
      </c>
      <c r="I459" s="31">
        <f>I460+I464</f>
        <v>110725.1</v>
      </c>
    </row>
    <row r="460" spans="1:9" x14ac:dyDescent="0.2">
      <c r="A460" s="29" t="s">
        <v>474</v>
      </c>
      <c r="B460" s="30" t="s">
        <v>437</v>
      </c>
      <c r="C460" s="30" t="s">
        <v>404</v>
      </c>
      <c r="D460" s="30" t="s">
        <v>173</v>
      </c>
      <c r="E460" s="30" t="s">
        <v>475</v>
      </c>
      <c r="F460" s="30"/>
      <c r="G460" s="31">
        <f>G461</f>
        <v>39309.1</v>
      </c>
      <c r="H460" s="31">
        <f t="shared" ref="H460:I462" si="129">H461</f>
        <v>39309.1</v>
      </c>
      <c r="I460" s="31">
        <f t="shared" si="129"/>
        <v>39309.1</v>
      </c>
    </row>
    <row r="461" spans="1:9" x14ac:dyDescent="0.2">
      <c r="A461" s="52" t="s">
        <v>476</v>
      </c>
      <c r="B461" s="49" t="s">
        <v>437</v>
      </c>
      <c r="C461" s="49" t="s">
        <v>404</v>
      </c>
      <c r="D461" s="49" t="s">
        <v>173</v>
      </c>
      <c r="E461" s="49" t="s">
        <v>477</v>
      </c>
      <c r="F461" s="40"/>
      <c r="G461" s="53">
        <f>G462</f>
        <v>39309.1</v>
      </c>
      <c r="H461" s="53">
        <f t="shared" si="129"/>
        <v>39309.1</v>
      </c>
      <c r="I461" s="53">
        <f t="shared" si="129"/>
        <v>39309.1</v>
      </c>
    </row>
    <row r="462" spans="1:9" x14ac:dyDescent="0.2">
      <c r="A462" s="35" t="s">
        <v>356</v>
      </c>
      <c r="B462" s="36" t="s">
        <v>437</v>
      </c>
      <c r="C462" s="36" t="s">
        <v>404</v>
      </c>
      <c r="D462" s="36" t="s">
        <v>173</v>
      </c>
      <c r="E462" s="36" t="s">
        <v>477</v>
      </c>
      <c r="F462" s="36" t="s">
        <v>357</v>
      </c>
      <c r="G462" s="37">
        <f>G463</f>
        <v>39309.1</v>
      </c>
      <c r="H462" s="37">
        <f t="shared" si="129"/>
        <v>39309.1</v>
      </c>
      <c r="I462" s="37">
        <f t="shared" si="129"/>
        <v>39309.1</v>
      </c>
    </row>
    <row r="463" spans="1:9" x14ac:dyDescent="0.2">
      <c r="A463" s="35" t="s">
        <v>358</v>
      </c>
      <c r="B463" s="36" t="s">
        <v>437</v>
      </c>
      <c r="C463" s="36" t="s">
        <v>404</v>
      </c>
      <c r="D463" s="36" t="s">
        <v>173</v>
      </c>
      <c r="E463" s="36" t="s">
        <v>477</v>
      </c>
      <c r="F463" s="36" t="s">
        <v>359</v>
      </c>
      <c r="G463" s="37">
        <v>39309.1</v>
      </c>
      <c r="H463" s="37">
        <v>39309.1</v>
      </c>
      <c r="I463" s="37">
        <v>39309.1</v>
      </c>
    </row>
    <row r="464" spans="1:9" ht="24" x14ac:dyDescent="0.2">
      <c r="A464" s="29" t="s">
        <v>478</v>
      </c>
      <c r="B464" s="30" t="s">
        <v>437</v>
      </c>
      <c r="C464" s="30" t="s">
        <v>404</v>
      </c>
      <c r="D464" s="30" t="s">
        <v>173</v>
      </c>
      <c r="E464" s="30" t="s">
        <v>479</v>
      </c>
      <c r="F464" s="30"/>
      <c r="G464" s="31">
        <f>G465+G468+G471+G474</f>
        <v>101943.51285</v>
      </c>
      <c r="H464" s="31">
        <f>H465+H468+H471+H474</f>
        <v>68249.000000000015</v>
      </c>
      <c r="I464" s="31">
        <f>I465+I468+I471+I474</f>
        <v>71416.000000000015</v>
      </c>
    </row>
    <row r="465" spans="1:9" x14ac:dyDescent="0.2">
      <c r="A465" s="39" t="s">
        <v>480</v>
      </c>
      <c r="B465" s="40">
        <v>603</v>
      </c>
      <c r="C465" s="40" t="s">
        <v>404</v>
      </c>
      <c r="D465" s="40" t="s">
        <v>173</v>
      </c>
      <c r="E465" s="40" t="s">
        <v>481</v>
      </c>
      <c r="F465" s="40"/>
      <c r="G465" s="41">
        <f>G466</f>
        <v>56516.242790000004</v>
      </c>
      <c r="H465" s="41">
        <f t="shared" ref="H465:I466" si="130">H466</f>
        <v>22446.400000000001</v>
      </c>
      <c r="I465" s="41">
        <f t="shared" si="130"/>
        <v>22446.400000000001</v>
      </c>
    </row>
    <row r="466" spans="1:9" x14ac:dyDescent="0.2">
      <c r="A466" s="35" t="s">
        <v>356</v>
      </c>
      <c r="B466" s="36">
        <v>603</v>
      </c>
      <c r="C466" s="36" t="s">
        <v>404</v>
      </c>
      <c r="D466" s="36" t="s">
        <v>173</v>
      </c>
      <c r="E466" s="36" t="s">
        <v>481</v>
      </c>
      <c r="F466" s="36" t="s">
        <v>357</v>
      </c>
      <c r="G466" s="37">
        <f>G467</f>
        <v>56516.242790000004</v>
      </c>
      <c r="H466" s="37">
        <f t="shared" si="130"/>
        <v>22446.400000000001</v>
      </c>
      <c r="I466" s="37">
        <f t="shared" si="130"/>
        <v>22446.400000000001</v>
      </c>
    </row>
    <row r="467" spans="1:9" x14ac:dyDescent="0.2">
      <c r="A467" s="35" t="s">
        <v>358</v>
      </c>
      <c r="B467" s="36">
        <v>603</v>
      </c>
      <c r="C467" s="36" t="s">
        <v>404</v>
      </c>
      <c r="D467" s="36" t="s">
        <v>173</v>
      </c>
      <c r="E467" s="36" t="s">
        <v>481</v>
      </c>
      <c r="F467" s="36" t="s">
        <v>359</v>
      </c>
      <c r="G467" s="37">
        <f>2660+2117.2+1891.8+15777.4+2025.63148-2000+13000+5000+1000+4161.53131+600+7282.68+500+2500</f>
        <v>56516.242790000004</v>
      </c>
      <c r="H467" s="37">
        <f>2660+2117.2+1891.8+15777.4</f>
        <v>22446.400000000001</v>
      </c>
      <c r="I467" s="37">
        <f>2660+2117.2+1891.8+15777.4</f>
        <v>22446.400000000001</v>
      </c>
    </row>
    <row r="468" spans="1:9" ht="24" x14ac:dyDescent="0.2">
      <c r="A468" s="39" t="s">
        <v>482</v>
      </c>
      <c r="B468" s="40" t="s">
        <v>437</v>
      </c>
      <c r="C468" s="40" t="s">
        <v>404</v>
      </c>
      <c r="D468" s="40" t="s">
        <v>173</v>
      </c>
      <c r="E468" s="40" t="s">
        <v>483</v>
      </c>
      <c r="F468" s="40"/>
      <c r="G468" s="47">
        <f>G469</f>
        <v>45136</v>
      </c>
      <c r="H468" s="47">
        <f t="shared" ref="H468:I469" si="131">H469</f>
        <v>45511.3</v>
      </c>
      <c r="I468" s="47">
        <f t="shared" si="131"/>
        <v>48788.3</v>
      </c>
    </row>
    <row r="469" spans="1:9" s="192" customFormat="1" x14ac:dyDescent="0.2">
      <c r="A469" s="35" t="s">
        <v>356</v>
      </c>
      <c r="B469" s="36">
        <v>603</v>
      </c>
      <c r="C469" s="36" t="s">
        <v>404</v>
      </c>
      <c r="D469" s="36" t="s">
        <v>173</v>
      </c>
      <c r="E469" s="36" t="s">
        <v>483</v>
      </c>
      <c r="F469" s="36" t="s">
        <v>357</v>
      </c>
      <c r="G469" s="46">
        <f>G470</f>
        <v>45136</v>
      </c>
      <c r="H469" s="46">
        <f t="shared" si="131"/>
        <v>45511.3</v>
      </c>
      <c r="I469" s="46">
        <f t="shared" si="131"/>
        <v>48788.3</v>
      </c>
    </row>
    <row r="470" spans="1:9" s="192" customFormat="1" x14ac:dyDescent="0.2">
      <c r="A470" s="35" t="s">
        <v>358</v>
      </c>
      <c r="B470" s="36">
        <v>603</v>
      </c>
      <c r="C470" s="36" t="s">
        <v>404</v>
      </c>
      <c r="D470" s="36" t="s">
        <v>173</v>
      </c>
      <c r="E470" s="36" t="s">
        <v>483</v>
      </c>
      <c r="F470" s="36" t="s">
        <v>359</v>
      </c>
      <c r="G470" s="46">
        <f>43030+3770-1664</f>
        <v>45136</v>
      </c>
      <c r="H470" s="46">
        <v>45511.3</v>
      </c>
      <c r="I470" s="46">
        <v>48788.3</v>
      </c>
    </row>
    <row r="471" spans="1:9" s="192" customFormat="1" x14ac:dyDescent="0.2">
      <c r="A471" s="29" t="s">
        <v>484</v>
      </c>
      <c r="B471" s="30" t="s">
        <v>437</v>
      </c>
      <c r="C471" s="30" t="s">
        <v>404</v>
      </c>
      <c r="D471" s="30" t="s">
        <v>173</v>
      </c>
      <c r="E471" s="30" t="s">
        <v>485</v>
      </c>
      <c r="F471" s="30"/>
      <c r="G471" s="45">
        <f>G472</f>
        <v>290.27006</v>
      </c>
      <c r="H471" s="45">
        <f t="shared" ref="H471:I472" si="132">H472</f>
        <v>290.3</v>
      </c>
      <c r="I471" s="45">
        <f t="shared" si="132"/>
        <v>180.3</v>
      </c>
    </row>
    <row r="472" spans="1:9" x14ac:dyDescent="0.2">
      <c r="A472" s="35" t="s">
        <v>356</v>
      </c>
      <c r="B472" s="36">
        <v>603</v>
      </c>
      <c r="C472" s="36" t="s">
        <v>404</v>
      </c>
      <c r="D472" s="36" t="s">
        <v>173</v>
      </c>
      <c r="E472" s="36" t="s">
        <v>485</v>
      </c>
      <c r="F472" s="36" t="s">
        <v>357</v>
      </c>
      <c r="G472" s="46">
        <f>G473</f>
        <v>290.27006</v>
      </c>
      <c r="H472" s="46">
        <f t="shared" si="132"/>
        <v>290.3</v>
      </c>
      <c r="I472" s="46">
        <f t="shared" si="132"/>
        <v>180.3</v>
      </c>
    </row>
    <row r="473" spans="1:9" x14ac:dyDescent="0.2">
      <c r="A473" s="35" t="s">
        <v>358</v>
      </c>
      <c r="B473" s="36">
        <v>603</v>
      </c>
      <c r="C473" s="36" t="s">
        <v>404</v>
      </c>
      <c r="D473" s="36" t="s">
        <v>173</v>
      </c>
      <c r="E473" s="36" t="s">
        <v>485</v>
      </c>
      <c r="F473" s="36" t="s">
        <v>359</v>
      </c>
      <c r="G473" s="46">
        <v>290.27006</v>
      </c>
      <c r="H473" s="46">
        <f>316.8-26.5</f>
        <v>290.3</v>
      </c>
      <c r="I473" s="46">
        <v>180.3</v>
      </c>
    </row>
    <row r="474" spans="1:9" x14ac:dyDescent="0.2">
      <c r="A474" s="29" t="s">
        <v>486</v>
      </c>
      <c r="B474" s="30" t="s">
        <v>437</v>
      </c>
      <c r="C474" s="30" t="s">
        <v>404</v>
      </c>
      <c r="D474" s="30" t="s">
        <v>173</v>
      </c>
      <c r="E474" s="30" t="s">
        <v>487</v>
      </c>
      <c r="F474" s="36"/>
      <c r="G474" s="31">
        <f>G475</f>
        <v>1</v>
      </c>
      <c r="H474" s="31">
        <f t="shared" ref="H474:I475" si="133">H475</f>
        <v>1</v>
      </c>
      <c r="I474" s="31">
        <f t="shared" si="133"/>
        <v>1</v>
      </c>
    </row>
    <row r="475" spans="1:9" x14ac:dyDescent="0.2">
      <c r="A475" s="35" t="s">
        <v>356</v>
      </c>
      <c r="B475" s="36">
        <v>603</v>
      </c>
      <c r="C475" s="36" t="s">
        <v>404</v>
      </c>
      <c r="D475" s="36" t="s">
        <v>173</v>
      </c>
      <c r="E475" s="36" t="s">
        <v>487</v>
      </c>
      <c r="F475" s="36" t="s">
        <v>357</v>
      </c>
      <c r="G475" s="37">
        <f>G476</f>
        <v>1</v>
      </c>
      <c r="H475" s="37">
        <f t="shared" si="133"/>
        <v>1</v>
      </c>
      <c r="I475" s="37">
        <f t="shared" si="133"/>
        <v>1</v>
      </c>
    </row>
    <row r="476" spans="1:9" x14ac:dyDescent="0.2">
      <c r="A476" s="35" t="s">
        <v>358</v>
      </c>
      <c r="B476" s="36">
        <v>603</v>
      </c>
      <c r="C476" s="36" t="s">
        <v>404</v>
      </c>
      <c r="D476" s="36" t="s">
        <v>173</v>
      </c>
      <c r="E476" s="36" t="s">
        <v>487</v>
      </c>
      <c r="F476" s="36" t="s">
        <v>359</v>
      </c>
      <c r="G476" s="37">
        <v>1</v>
      </c>
      <c r="H476" s="37">
        <v>1</v>
      </c>
      <c r="I476" s="37">
        <v>1</v>
      </c>
    </row>
    <row r="477" spans="1:9" x14ac:dyDescent="0.2">
      <c r="A477" s="29" t="s">
        <v>488</v>
      </c>
      <c r="B477" s="30">
        <v>603</v>
      </c>
      <c r="C477" s="30" t="s">
        <v>404</v>
      </c>
      <c r="D477" s="30" t="s">
        <v>177</v>
      </c>
      <c r="E477" s="30"/>
      <c r="F477" s="30"/>
      <c r="G477" s="31">
        <f>G478+G489</f>
        <v>8639.0989099999988</v>
      </c>
      <c r="H477" s="31">
        <f>H478+H489</f>
        <v>6410.5</v>
      </c>
      <c r="I477" s="31">
        <f>I478+I489</f>
        <v>6410.5</v>
      </c>
    </row>
    <row r="478" spans="1:9" x14ac:dyDescent="0.2">
      <c r="A478" s="39" t="s">
        <v>439</v>
      </c>
      <c r="B478" s="40">
        <v>603</v>
      </c>
      <c r="C478" s="40" t="s">
        <v>404</v>
      </c>
      <c r="D478" s="40" t="s">
        <v>177</v>
      </c>
      <c r="E478" s="40" t="s">
        <v>440</v>
      </c>
      <c r="F478" s="40"/>
      <c r="G478" s="41">
        <f>G479</f>
        <v>8418.9179999999997</v>
      </c>
      <c r="H478" s="41">
        <f t="shared" ref="H478:I479" si="134">H479</f>
        <v>6410.5</v>
      </c>
      <c r="I478" s="41">
        <f t="shared" si="134"/>
        <v>6410.5</v>
      </c>
    </row>
    <row r="479" spans="1:9" ht="13.5" x14ac:dyDescent="0.2">
      <c r="A479" s="38" t="s">
        <v>489</v>
      </c>
      <c r="B479" s="32">
        <v>603</v>
      </c>
      <c r="C479" s="32" t="s">
        <v>404</v>
      </c>
      <c r="D479" s="32" t="s">
        <v>177</v>
      </c>
      <c r="E479" s="32" t="s">
        <v>490</v>
      </c>
      <c r="F479" s="32"/>
      <c r="G479" s="33">
        <f>G480</f>
        <v>8418.9179999999997</v>
      </c>
      <c r="H479" s="33">
        <f t="shared" si="134"/>
        <v>6410.5</v>
      </c>
      <c r="I479" s="33">
        <f t="shared" si="134"/>
        <v>6410.5</v>
      </c>
    </row>
    <row r="480" spans="1:9" x14ac:dyDescent="0.2">
      <c r="A480" s="29" t="s">
        <v>491</v>
      </c>
      <c r="B480" s="30">
        <v>603</v>
      </c>
      <c r="C480" s="30" t="s">
        <v>404</v>
      </c>
      <c r="D480" s="30" t="s">
        <v>177</v>
      </c>
      <c r="E480" s="30" t="s">
        <v>490</v>
      </c>
      <c r="F480" s="30"/>
      <c r="G480" s="31">
        <f>G481+G484</f>
        <v>8418.9179999999997</v>
      </c>
      <c r="H480" s="31">
        <f>H481+H484</f>
        <v>6410.5</v>
      </c>
      <c r="I480" s="31">
        <f>I481+I484</f>
        <v>6410.5</v>
      </c>
    </row>
    <row r="481" spans="1:9" x14ac:dyDescent="0.2">
      <c r="A481" s="29" t="s">
        <v>492</v>
      </c>
      <c r="B481" s="30" t="s">
        <v>437</v>
      </c>
      <c r="C481" s="30" t="s">
        <v>404</v>
      </c>
      <c r="D481" s="30" t="s">
        <v>177</v>
      </c>
      <c r="E481" s="30" t="s">
        <v>493</v>
      </c>
      <c r="F481" s="30"/>
      <c r="G481" s="31">
        <f>G482</f>
        <v>7480.4880000000003</v>
      </c>
      <c r="H481" s="31">
        <f t="shared" ref="H481:I482" si="135">H482</f>
        <v>5504.5</v>
      </c>
      <c r="I481" s="31">
        <f t="shared" si="135"/>
        <v>5504.5</v>
      </c>
    </row>
    <row r="482" spans="1:9" ht="24" x14ac:dyDescent="0.2">
      <c r="A482" s="35" t="s">
        <v>185</v>
      </c>
      <c r="B482" s="36" t="s">
        <v>437</v>
      </c>
      <c r="C482" s="36" t="s">
        <v>404</v>
      </c>
      <c r="D482" s="36" t="s">
        <v>177</v>
      </c>
      <c r="E482" s="36" t="s">
        <v>493</v>
      </c>
      <c r="F482" s="36" t="s">
        <v>186</v>
      </c>
      <c r="G482" s="37">
        <f>G483</f>
        <v>7480.4880000000003</v>
      </c>
      <c r="H482" s="37">
        <f t="shared" si="135"/>
        <v>5504.5</v>
      </c>
      <c r="I482" s="37">
        <f t="shared" si="135"/>
        <v>5504.5</v>
      </c>
    </row>
    <row r="483" spans="1:9" x14ac:dyDescent="0.2">
      <c r="A483" s="35" t="s">
        <v>187</v>
      </c>
      <c r="B483" s="36" t="s">
        <v>437</v>
      </c>
      <c r="C483" s="36" t="s">
        <v>404</v>
      </c>
      <c r="D483" s="36" t="s">
        <v>177</v>
      </c>
      <c r="E483" s="36" t="s">
        <v>493</v>
      </c>
      <c r="F483" s="36" t="s">
        <v>188</v>
      </c>
      <c r="G483" s="37">
        <f>4101+1238.5+165+1975.988</f>
        <v>7480.4880000000003</v>
      </c>
      <c r="H483" s="37">
        <f t="shared" ref="H483:I483" si="136">4101+1238.5+165</f>
        <v>5504.5</v>
      </c>
      <c r="I483" s="37">
        <f t="shared" si="136"/>
        <v>5504.5</v>
      </c>
    </row>
    <row r="484" spans="1:9" x14ac:dyDescent="0.2">
      <c r="A484" s="29" t="s">
        <v>193</v>
      </c>
      <c r="B484" s="30" t="s">
        <v>437</v>
      </c>
      <c r="C484" s="30" t="s">
        <v>404</v>
      </c>
      <c r="D484" s="30" t="s">
        <v>177</v>
      </c>
      <c r="E484" s="30" t="s">
        <v>494</v>
      </c>
      <c r="F484" s="30"/>
      <c r="G484" s="31">
        <f>G485+G487</f>
        <v>938.43</v>
      </c>
      <c r="H484" s="31">
        <f>H485+H487</f>
        <v>906</v>
      </c>
      <c r="I484" s="31">
        <f>I485+I487</f>
        <v>906</v>
      </c>
    </row>
    <row r="485" spans="1:9" x14ac:dyDescent="0.2">
      <c r="A485" s="35" t="s">
        <v>195</v>
      </c>
      <c r="B485" s="36" t="s">
        <v>437</v>
      </c>
      <c r="C485" s="36" t="s">
        <v>404</v>
      </c>
      <c r="D485" s="36" t="s">
        <v>177</v>
      </c>
      <c r="E485" s="36" t="s">
        <v>494</v>
      </c>
      <c r="F485" s="36" t="s">
        <v>196</v>
      </c>
      <c r="G485" s="37">
        <f>G486</f>
        <v>888.43</v>
      </c>
      <c r="H485" s="37">
        <f t="shared" ref="H485:I485" si="137">H486</f>
        <v>856</v>
      </c>
      <c r="I485" s="37">
        <f t="shared" si="137"/>
        <v>856</v>
      </c>
    </row>
    <row r="486" spans="1:9" x14ac:dyDescent="0.2">
      <c r="A486" s="35" t="s">
        <v>197</v>
      </c>
      <c r="B486" s="36" t="s">
        <v>437</v>
      </c>
      <c r="C486" s="36" t="s">
        <v>404</v>
      </c>
      <c r="D486" s="36" t="s">
        <v>177</v>
      </c>
      <c r="E486" s="36" t="s">
        <v>494</v>
      </c>
      <c r="F486" s="36" t="s">
        <v>198</v>
      </c>
      <c r="G486" s="37">
        <f>100+70+210+376+100+32.43</f>
        <v>888.43</v>
      </c>
      <c r="H486" s="37">
        <f>100+70+210+376+100</f>
        <v>856</v>
      </c>
      <c r="I486" s="37">
        <f>100+70+210+376+100</f>
        <v>856</v>
      </c>
    </row>
    <row r="487" spans="1:9" x14ac:dyDescent="0.2">
      <c r="A487" s="35" t="s">
        <v>199</v>
      </c>
      <c r="B487" s="36" t="s">
        <v>437</v>
      </c>
      <c r="C487" s="36" t="s">
        <v>404</v>
      </c>
      <c r="D487" s="36" t="s">
        <v>177</v>
      </c>
      <c r="E487" s="36" t="s">
        <v>494</v>
      </c>
      <c r="F487" s="36" t="s">
        <v>200</v>
      </c>
      <c r="G487" s="37">
        <f>G488</f>
        <v>50</v>
      </c>
      <c r="H487" s="37">
        <f t="shared" ref="H487:I487" si="138">H488</f>
        <v>50</v>
      </c>
      <c r="I487" s="37">
        <f t="shared" si="138"/>
        <v>50</v>
      </c>
    </row>
    <row r="488" spans="1:9" x14ac:dyDescent="0.2">
      <c r="A488" s="35" t="s">
        <v>201</v>
      </c>
      <c r="B488" s="36" t="s">
        <v>437</v>
      </c>
      <c r="C488" s="36" t="s">
        <v>404</v>
      </c>
      <c r="D488" s="36" t="s">
        <v>177</v>
      </c>
      <c r="E488" s="36" t="s">
        <v>494</v>
      </c>
      <c r="F488" s="36" t="s">
        <v>202</v>
      </c>
      <c r="G488" s="37">
        <v>50</v>
      </c>
      <c r="H488" s="37">
        <v>50</v>
      </c>
      <c r="I488" s="37">
        <v>50</v>
      </c>
    </row>
    <row r="489" spans="1:9" x14ac:dyDescent="0.2">
      <c r="A489" s="129" t="s">
        <v>178</v>
      </c>
      <c r="B489" s="83" t="s">
        <v>437</v>
      </c>
      <c r="C489" s="83" t="s">
        <v>404</v>
      </c>
      <c r="D489" s="83" t="s">
        <v>177</v>
      </c>
      <c r="E489" s="83" t="s">
        <v>189</v>
      </c>
      <c r="F489" s="12"/>
      <c r="G489" s="145">
        <f t="shared" ref="G489:I492" si="139">G490</f>
        <v>220.18091000000001</v>
      </c>
      <c r="H489" s="247">
        <f t="shared" si="139"/>
        <v>0</v>
      </c>
      <c r="I489" s="247">
        <f t="shared" si="139"/>
        <v>0</v>
      </c>
    </row>
    <row r="490" spans="1:9" x14ac:dyDescent="0.2">
      <c r="A490" s="75" t="s">
        <v>180</v>
      </c>
      <c r="B490" s="74" t="s">
        <v>437</v>
      </c>
      <c r="C490" s="74" t="s">
        <v>404</v>
      </c>
      <c r="D490" s="74" t="s">
        <v>177</v>
      </c>
      <c r="E490" s="74" t="s">
        <v>190</v>
      </c>
      <c r="F490" s="12"/>
      <c r="G490" s="127">
        <f t="shared" si="139"/>
        <v>220.18091000000001</v>
      </c>
      <c r="H490" s="248">
        <f t="shared" si="139"/>
        <v>0</v>
      </c>
      <c r="I490" s="248">
        <f t="shared" si="139"/>
        <v>0</v>
      </c>
    </row>
    <row r="491" spans="1:9" x14ac:dyDescent="0.2">
      <c r="A491" s="75" t="s">
        <v>203</v>
      </c>
      <c r="B491" s="74" t="s">
        <v>437</v>
      </c>
      <c r="C491" s="74" t="s">
        <v>404</v>
      </c>
      <c r="D491" s="74" t="s">
        <v>177</v>
      </c>
      <c r="E491" s="74" t="s">
        <v>204</v>
      </c>
      <c r="F491" s="74"/>
      <c r="G491" s="127">
        <f t="shared" si="139"/>
        <v>220.18091000000001</v>
      </c>
      <c r="H491" s="248">
        <f t="shared" si="139"/>
        <v>0</v>
      </c>
      <c r="I491" s="248">
        <f t="shared" si="139"/>
        <v>0</v>
      </c>
    </row>
    <row r="492" spans="1:9" ht="24" x14ac:dyDescent="0.2">
      <c r="A492" s="73" t="s">
        <v>185</v>
      </c>
      <c r="B492" s="12" t="s">
        <v>437</v>
      </c>
      <c r="C492" s="12" t="s">
        <v>404</v>
      </c>
      <c r="D492" s="12" t="s">
        <v>177</v>
      </c>
      <c r="E492" s="12" t="s">
        <v>204</v>
      </c>
      <c r="F492" s="12" t="s">
        <v>186</v>
      </c>
      <c r="G492" s="115">
        <f t="shared" si="139"/>
        <v>220.18091000000001</v>
      </c>
      <c r="H492" s="249">
        <f t="shared" si="139"/>
        <v>0</v>
      </c>
      <c r="I492" s="249">
        <f t="shared" si="139"/>
        <v>0</v>
      </c>
    </row>
    <row r="493" spans="1:9" x14ac:dyDescent="0.2">
      <c r="A493" s="73" t="s">
        <v>187</v>
      </c>
      <c r="B493" s="12" t="s">
        <v>437</v>
      </c>
      <c r="C493" s="12" t="s">
        <v>404</v>
      </c>
      <c r="D493" s="12" t="s">
        <v>177</v>
      </c>
      <c r="E493" s="12" t="s">
        <v>204</v>
      </c>
      <c r="F493" s="12" t="s">
        <v>188</v>
      </c>
      <c r="G493" s="115">
        <v>220.18091000000001</v>
      </c>
      <c r="H493" s="249">
        <v>0</v>
      </c>
      <c r="I493" s="249">
        <v>0</v>
      </c>
    </row>
    <row r="494" spans="1:9" ht="31.5" x14ac:dyDescent="0.2">
      <c r="A494" s="200" t="s">
        <v>495</v>
      </c>
      <c r="B494" s="207" t="s">
        <v>496</v>
      </c>
      <c r="C494" s="36"/>
      <c r="D494" s="36"/>
      <c r="E494" s="36"/>
      <c r="F494" s="36"/>
      <c r="G494" s="201">
        <f>G495</f>
        <v>107482.99275</v>
      </c>
      <c r="H494" s="201">
        <f>H495</f>
        <v>86000</v>
      </c>
      <c r="I494" s="201">
        <f>I495</f>
        <v>76000</v>
      </c>
    </row>
    <row r="495" spans="1:9" x14ac:dyDescent="0.2">
      <c r="A495" s="29" t="s">
        <v>290</v>
      </c>
      <c r="B495" s="30" t="s">
        <v>496</v>
      </c>
      <c r="C495" s="30" t="s">
        <v>177</v>
      </c>
      <c r="D495" s="30" t="s">
        <v>174</v>
      </c>
      <c r="E495" s="36"/>
      <c r="F495" s="36"/>
      <c r="G495" s="31">
        <f>G496</f>
        <v>107482.99275</v>
      </c>
      <c r="H495" s="31">
        <f t="shared" ref="H495:I497" si="140">H496</f>
        <v>86000</v>
      </c>
      <c r="I495" s="31">
        <f t="shared" si="140"/>
        <v>76000</v>
      </c>
    </row>
    <row r="496" spans="1:9" x14ac:dyDescent="0.2">
      <c r="A496" s="29" t="s">
        <v>403</v>
      </c>
      <c r="B496" s="30" t="s">
        <v>496</v>
      </c>
      <c r="C496" s="30" t="s">
        <v>177</v>
      </c>
      <c r="D496" s="30" t="s">
        <v>404</v>
      </c>
      <c r="E496" s="30"/>
      <c r="F496" s="30"/>
      <c r="G496" s="31">
        <f>G497+G514</f>
        <v>107482.99275</v>
      </c>
      <c r="H496" s="31">
        <f>H497+H514</f>
        <v>86000</v>
      </c>
      <c r="I496" s="31">
        <f>I497+I514</f>
        <v>76000</v>
      </c>
    </row>
    <row r="497" spans="1:9" ht="13.5" x14ac:dyDescent="0.2">
      <c r="A497" s="38" t="s">
        <v>405</v>
      </c>
      <c r="B497" s="32" t="s">
        <v>496</v>
      </c>
      <c r="C497" s="32" t="s">
        <v>177</v>
      </c>
      <c r="D497" s="32" t="s">
        <v>404</v>
      </c>
      <c r="E497" s="32" t="s">
        <v>406</v>
      </c>
      <c r="F497" s="32"/>
      <c r="G497" s="33">
        <f>G498</f>
        <v>107180.24400000001</v>
      </c>
      <c r="H497" s="33">
        <f t="shared" si="140"/>
        <v>86000</v>
      </c>
      <c r="I497" s="33">
        <f t="shared" si="140"/>
        <v>76000</v>
      </c>
    </row>
    <row r="498" spans="1:9" x14ac:dyDescent="0.2">
      <c r="A498" s="42" t="s">
        <v>497</v>
      </c>
      <c r="B498" s="40" t="s">
        <v>496</v>
      </c>
      <c r="C498" s="40" t="s">
        <v>177</v>
      </c>
      <c r="D498" s="40" t="s">
        <v>404</v>
      </c>
      <c r="E498" s="43" t="s">
        <v>498</v>
      </c>
      <c r="F498" s="40"/>
      <c r="G498" s="41">
        <f>G499+G508+G511</f>
        <v>107180.24400000001</v>
      </c>
      <c r="H498" s="41">
        <f>H499+H508+H511</f>
        <v>86000</v>
      </c>
      <c r="I498" s="41">
        <f>I499+I508+I511</f>
        <v>76000</v>
      </c>
    </row>
    <row r="499" spans="1:9" x14ac:dyDescent="0.2">
      <c r="A499" s="39" t="s">
        <v>499</v>
      </c>
      <c r="B499" s="40" t="s">
        <v>496</v>
      </c>
      <c r="C499" s="40" t="s">
        <v>177</v>
      </c>
      <c r="D499" s="40" t="s">
        <v>404</v>
      </c>
      <c r="E499" s="40" t="s">
        <v>500</v>
      </c>
      <c r="F499" s="40"/>
      <c r="G499" s="41">
        <f>G500+G503</f>
        <v>14180.244000000001</v>
      </c>
      <c r="H499" s="41">
        <f>H500+H503</f>
        <v>13000</v>
      </c>
      <c r="I499" s="41">
        <f>I500+I503</f>
        <v>13000</v>
      </c>
    </row>
    <row r="500" spans="1:9" x14ac:dyDescent="0.2">
      <c r="A500" s="29" t="s">
        <v>183</v>
      </c>
      <c r="B500" s="30" t="s">
        <v>496</v>
      </c>
      <c r="C500" s="30" t="s">
        <v>177</v>
      </c>
      <c r="D500" s="30" t="s">
        <v>404</v>
      </c>
      <c r="E500" s="30" t="s">
        <v>501</v>
      </c>
      <c r="F500" s="30"/>
      <c r="G500" s="31">
        <f>G501</f>
        <v>12123.244000000001</v>
      </c>
      <c r="H500" s="31">
        <f t="shared" ref="H500:I501" si="141">H501</f>
        <v>10943</v>
      </c>
      <c r="I500" s="31">
        <f t="shared" si="141"/>
        <v>10943</v>
      </c>
    </row>
    <row r="501" spans="1:9" ht="24" x14ac:dyDescent="0.2">
      <c r="A501" s="35" t="s">
        <v>185</v>
      </c>
      <c r="B501" s="36" t="s">
        <v>496</v>
      </c>
      <c r="C501" s="36" t="s">
        <v>177</v>
      </c>
      <c r="D501" s="36" t="s">
        <v>404</v>
      </c>
      <c r="E501" s="36" t="s">
        <v>501</v>
      </c>
      <c r="F501" s="36" t="s">
        <v>186</v>
      </c>
      <c r="G501" s="37">
        <f>G502</f>
        <v>12123.244000000001</v>
      </c>
      <c r="H501" s="37">
        <f t="shared" si="141"/>
        <v>10943</v>
      </c>
      <c r="I501" s="37">
        <f t="shared" si="141"/>
        <v>10943</v>
      </c>
    </row>
    <row r="502" spans="1:9" x14ac:dyDescent="0.2">
      <c r="A502" s="35" t="s">
        <v>187</v>
      </c>
      <c r="B502" s="36" t="s">
        <v>496</v>
      </c>
      <c r="C502" s="36" t="s">
        <v>177</v>
      </c>
      <c r="D502" s="36" t="s">
        <v>404</v>
      </c>
      <c r="E502" s="36" t="s">
        <v>501</v>
      </c>
      <c r="F502" s="36" t="s">
        <v>188</v>
      </c>
      <c r="G502" s="37">
        <f>10943+1180.244</f>
        <v>12123.244000000001</v>
      </c>
      <c r="H502" s="37">
        <v>10943</v>
      </c>
      <c r="I502" s="37">
        <v>10943</v>
      </c>
    </row>
    <row r="503" spans="1:9" x14ac:dyDescent="0.2">
      <c r="A503" s="29" t="s">
        <v>193</v>
      </c>
      <c r="B503" s="30" t="s">
        <v>496</v>
      </c>
      <c r="C503" s="30" t="s">
        <v>177</v>
      </c>
      <c r="D503" s="30" t="s">
        <v>404</v>
      </c>
      <c r="E503" s="30" t="s">
        <v>502</v>
      </c>
      <c r="F503" s="30"/>
      <c r="G503" s="31">
        <f>G504+G506</f>
        <v>2057</v>
      </c>
      <c r="H503" s="31">
        <f>H504+H506</f>
        <v>2057</v>
      </c>
      <c r="I503" s="31">
        <f>I504+I506</f>
        <v>2057</v>
      </c>
    </row>
    <row r="504" spans="1:9" x14ac:dyDescent="0.2">
      <c r="A504" s="35" t="s">
        <v>195</v>
      </c>
      <c r="B504" s="36" t="s">
        <v>496</v>
      </c>
      <c r="C504" s="36" t="s">
        <v>177</v>
      </c>
      <c r="D504" s="36" t="s">
        <v>404</v>
      </c>
      <c r="E504" s="36" t="s">
        <v>502</v>
      </c>
      <c r="F504" s="36" t="s">
        <v>196</v>
      </c>
      <c r="G504" s="37">
        <f>G505</f>
        <v>2037</v>
      </c>
      <c r="H504" s="37">
        <f t="shared" ref="H504:I504" si="142">H505</f>
        <v>2037</v>
      </c>
      <c r="I504" s="37">
        <f t="shared" si="142"/>
        <v>2037</v>
      </c>
    </row>
    <row r="505" spans="1:9" x14ac:dyDescent="0.2">
      <c r="A505" s="35" t="s">
        <v>197</v>
      </c>
      <c r="B505" s="36" t="s">
        <v>496</v>
      </c>
      <c r="C505" s="36" t="s">
        <v>177</v>
      </c>
      <c r="D505" s="36" t="s">
        <v>404</v>
      </c>
      <c r="E505" s="36" t="s">
        <v>502</v>
      </c>
      <c r="F505" s="36" t="s">
        <v>198</v>
      </c>
      <c r="G505" s="37">
        <v>2037</v>
      </c>
      <c r="H505" s="37">
        <v>2037</v>
      </c>
      <c r="I505" s="37">
        <v>2037</v>
      </c>
    </row>
    <row r="506" spans="1:9" x14ac:dyDescent="0.2">
      <c r="A506" s="35" t="s">
        <v>199</v>
      </c>
      <c r="B506" s="36" t="s">
        <v>496</v>
      </c>
      <c r="C506" s="36" t="s">
        <v>177</v>
      </c>
      <c r="D506" s="36" t="s">
        <v>404</v>
      </c>
      <c r="E506" s="36" t="s">
        <v>502</v>
      </c>
      <c r="F506" s="36" t="s">
        <v>200</v>
      </c>
      <c r="G506" s="37">
        <f>G507</f>
        <v>20</v>
      </c>
      <c r="H506" s="37">
        <f t="shared" ref="H506:I506" si="143">H507</f>
        <v>20</v>
      </c>
      <c r="I506" s="37">
        <f t="shared" si="143"/>
        <v>20</v>
      </c>
    </row>
    <row r="507" spans="1:9" x14ac:dyDescent="0.2">
      <c r="A507" s="35" t="s">
        <v>201</v>
      </c>
      <c r="B507" s="36" t="s">
        <v>496</v>
      </c>
      <c r="C507" s="36" t="s">
        <v>177</v>
      </c>
      <c r="D507" s="36" t="s">
        <v>404</v>
      </c>
      <c r="E507" s="36" t="s">
        <v>502</v>
      </c>
      <c r="F507" s="36" t="s">
        <v>202</v>
      </c>
      <c r="G507" s="37">
        <v>20</v>
      </c>
      <c r="H507" s="37">
        <v>20</v>
      </c>
      <c r="I507" s="37">
        <v>20</v>
      </c>
    </row>
    <row r="508" spans="1:9" ht="18" customHeight="1" x14ac:dyDescent="0.2">
      <c r="A508" s="42" t="s">
        <v>503</v>
      </c>
      <c r="B508" s="40" t="s">
        <v>496</v>
      </c>
      <c r="C508" s="40" t="s">
        <v>177</v>
      </c>
      <c r="D508" s="40" t="s">
        <v>404</v>
      </c>
      <c r="E508" s="43" t="s">
        <v>504</v>
      </c>
      <c r="F508" s="40"/>
      <c r="G508" s="41">
        <f>G509</f>
        <v>93000</v>
      </c>
      <c r="H508" s="41">
        <f t="shared" ref="H508:I509" si="144">H509</f>
        <v>73000</v>
      </c>
      <c r="I508" s="41">
        <f t="shared" si="144"/>
        <v>63000</v>
      </c>
    </row>
    <row r="509" spans="1:9" x14ac:dyDescent="0.2">
      <c r="A509" s="35" t="s">
        <v>199</v>
      </c>
      <c r="B509" s="36" t="s">
        <v>496</v>
      </c>
      <c r="C509" s="36" t="s">
        <v>177</v>
      </c>
      <c r="D509" s="36" t="s">
        <v>404</v>
      </c>
      <c r="E509" s="44" t="s">
        <v>504</v>
      </c>
      <c r="F509" s="36" t="s">
        <v>200</v>
      </c>
      <c r="G509" s="37">
        <f>G510</f>
        <v>93000</v>
      </c>
      <c r="H509" s="37">
        <f t="shared" si="144"/>
        <v>73000</v>
      </c>
      <c r="I509" s="37">
        <f t="shared" si="144"/>
        <v>63000</v>
      </c>
    </row>
    <row r="510" spans="1:9" ht="24" x14ac:dyDescent="0.2">
      <c r="A510" s="35" t="s">
        <v>297</v>
      </c>
      <c r="B510" s="36" t="s">
        <v>496</v>
      </c>
      <c r="C510" s="36" t="s">
        <v>177</v>
      </c>
      <c r="D510" s="36" t="s">
        <v>404</v>
      </c>
      <c r="E510" s="44" t="s">
        <v>504</v>
      </c>
      <c r="F510" s="36" t="s">
        <v>298</v>
      </c>
      <c r="G510" s="37">
        <f>93000+10000-10000</f>
        <v>93000</v>
      </c>
      <c r="H510" s="37">
        <f>93000-20000</f>
        <v>73000</v>
      </c>
      <c r="I510" s="37">
        <f>93000-20000-10000</f>
        <v>63000</v>
      </c>
    </row>
    <row r="511" spans="1:9" x14ac:dyDescent="0.2">
      <c r="A511" s="39" t="s">
        <v>505</v>
      </c>
      <c r="B511" s="40" t="s">
        <v>496</v>
      </c>
      <c r="C511" s="40" t="s">
        <v>177</v>
      </c>
      <c r="D511" s="40" t="s">
        <v>404</v>
      </c>
      <c r="E511" s="43" t="s">
        <v>506</v>
      </c>
      <c r="F511" s="40"/>
      <c r="G511" s="47">
        <f>G512</f>
        <v>0</v>
      </c>
      <c r="H511" s="47">
        <f t="shared" ref="H511:I512" si="145">H512</f>
        <v>0</v>
      </c>
      <c r="I511" s="47">
        <f t="shared" si="145"/>
        <v>0</v>
      </c>
    </row>
    <row r="512" spans="1:9" x14ac:dyDescent="0.2">
      <c r="A512" s="35" t="s">
        <v>195</v>
      </c>
      <c r="B512" s="36" t="s">
        <v>496</v>
      </c>
      <c r="C512" s="36" t="s">
        <v>177</v>
      </c>
      <c r="D512" s="36" t="s">
        <v>404</v>
      </c>
      <c r="E512" s="44" t="s">
        <v>506</v>
      </c>
      <c r="F512" s="36" t="s">
        <v>196</v>
      </c>
      <c r="G512" s="46">
        <f>G513</f>
        <v>0</v>
      </c>
      <c r="H512" s="46">
        <f t="shared" si="145"/>
        <v>0</v>
      </c>
      <c r="I512" s="46">
        <f t="shared" si="145"/>
        <v>0</v>
      </c>
    </row>
    <row r="513" spans="1:9" x14ac:dyDescent="0.2">
      <c r="A513" s="35" t="s">
        <v>197</v>
      </c>
      <c r="B513" s="36" t="s">
        <v>496</v>
      </c>
      <c r="C513" s="36" t="s">
        <v>177</v>
      </c>
      <c r="D513" s="36" t="s">
        <v>404</v>
      </c>
      <c r="E513" s="44" t="s">
        <v>506</v>
      </c>
      <c r="F513" s="36" t="s">
        <v>198</v>
      </c>
      <c r="G513" s="46">
        <f>7000-7000</f>
        <v>0</v>
      </c>
      <c r="H513" s="46">
        <v>0</v>
      </c>
      <c r="I513" s="46">
        <v>0</v>
      </c>
    </row>
    <row r="514" spans="1:9" x14ac:dyDescent="0.2">
      <c r="A514" s="129" t="s">
        <v>178</v>
      </c>
      <c r="B514" s="83" t="s">
        <v>496</v>
      </c>
      <c r="C514" s="83" t="s">
        <v>177</v>
      </c>
      <c r="D514" s="83" t="s">
        <v>404</v>
      </c>
      <c r="E514" s="83" t="s">
        <v>189</v>
      </c>
      <c r="F514" s="12"/>
      <c r="G514" s="127">
        <f t="shared" ref="G514:H517" si="146">G515</f>
        <v>302.74874999999997</v>
      </c>
      <c r="H514" s="247">
        <f t="shared" si="146"/>
        <v>0</v>
      </c>
      <c r="I514" s="37"/>
    </row>
    <row r="515" spans="1:9" x14ac:dyDescent="0.2">
      <c r="A515" s="75" t="s">
        <v>180</v>
      </c>
      <c r="B515" s="74" t="s">
        <v>496</v>
      </c>
      <c r="C515" s="74" t="s">
        <v>177</v>
      </c>
      <c r="D515" s="74" t="s">
        <v>404</v>
      </c>
      <c r="E515" s="74" t="s">
        <v>190</v>
      </c>
      <c r="F515" s="12"/>
      <c r="G515" s="115">
        <f t="shared" si="146"/>
        <v>302.74874999999997</v>
      </c>
      <c r="H515" s="248">
        <f t="shared" si="146"/>
        <v>0</v>
      </c>
      <c r="I515" s="37"/>
    </row>
    <row r="516" spans="1:9" x14ac:dyDescent="0.2">
      <c r="A516" s="75" t="s">
        <v>203</v>
      </c>
      <c r="B516" s="74" t="s">
        <v>496</v>
      </c>
      <c r="C516" s="74" t="s">
        <v>177</v>
      </c>
      <c r="D516" s="74" t="s">
        <v>404</v>
      </c>
      <c r="E516" s="74" t="s">
        <v>204</v>
      </c>
      <c r="F516" s="74"/>
      <c r="G516" s="127">
        <f t="shared" si="146"/>
        <v>302.74874999999997</v>
      </c>
      <c r="H516" s="248">
        <f t="shared" si="146"/>
        <v>0</v>
      </c>
      <c r="I516" s="37"/>
    </row>
    <row r="517" spans="1:9" ht="24" x14ac:dyDescent="0.2">
      <c r="A517" s="73" t="s">
        <v>185</v>
      </c>
      <c r="B517" s="12" t="s">
        <v>496</v>
      </c>
      <c r="C517" s="12" t="s">
        <v>177</v>
      </c>
      <c r="D517" s="12" t="s">
        <v>404</v>
      </c>
      <c r="E517" s="12" t="s">
        <v>204</v>
      </c>
      <c r="F517" s="12" t="s">
        <v>186</v>
      </c>
      <c r="G517" s="115">
        <f t="shared" si="146"/>
        <v>302.74874999999997</v>
      </c>
      <c r="H517" s="249">
        <f t="shared" si="146"/>
        <v>0</v>
      </c>
      <c r="I517" s="37"/>
    </row>
    <row r="518" spans="1:9" x14ac:dyDescent="0.2">
      <c r="A518" s="73" t="s">
        <v>187</v>
      </c>
      <c r="B518" s="12" t="s">
        <v>496</v>
      </c>
      <c r="C518" s="12" t="s">
        <v>177</v>
      </c>
      <c r="D518" s="12" t="s">
        <v>404</v>
      </c>
      <c r="E518" s="12" t="s">
        <v>204</v>
      </c>
      <c r="F518" s="12" t="s">
        <v>188</v>
      </c>
      <c r="G518" s="115">
        <v>302.74874999999997</v>
      </c>
      <c r="H518" s="249">
        <v>0</v>
      </c>
      <c r="I518" s="37"/>
    </row>
    <row r="519" spans="1:9" ht="31.5" x14ac:dyDescent="0.2">
      <c r="A519" s="200" t="s">
        <v>507</v>
      </c>
      <c r="B519" s="34" t="s">
        <v>508</v>
      </c>
      <c r="C519" s="205"/>
      <c r="D519" s="205"/>
      <c r="E519" s="205"/>
      <c r="F519" s="205"/>
      <c r="G519" s="201">
        <f>G520+G535+G590</f>
        <v>1136427.49483</v>
      </c>
      <c r="H519" s="201">
        <f>H520+H535+H590</f>
        <v>629902.37299999991</v>
      </c>
      <c r="I519" s="201">
        <f>I520+I535+I590</f>
        <v>509589.1</v>
      </c>
    </row>
    <row r="520" spans="1:9" x14ac:dyDescent="0.2">
      <c r="A520" s="29" t="s">
        <v>290</v>
      </c>
      <c r="B520" s="30" t="s">
        <v>508</v>
      </c>
      <c r="C520" s="30" t="s">
        <v>177</v>
      </c>
      <c r="D520" s="30" t="s">
        <v>174</v>
      </c>
      <c r="E520" s="30"/>
      <c r="F520" s="30"/>
      <c r="G520" s="31">
        <f>G521+G530</f>
        <v>27775.065999999999</v>
      </c>
      <c r="H520" s="31">
        <f>H521+H530</f>
        <v>12543.099999999999</v>
      </c>
      <c r="I520" s="31">
        <f>I521+I530</f>
        <v>12543.099999999999</v>
      </c>
    </row>
    <row r="521" spans="1:9" x14ac:dyDescent="0.2">
      <c r="A521" s="29" t="s">
        <v>509</v>
      </c>
      <c r="B521" s="30" t="s">
        <v>508</v>
      </c>
      <c r="C521" s="30" t="s">
        <v>177</v>
      </c>
      <c r="D521" s="30" t="s">
        <v>375</v>
      </c>
      <c r="E521" s="30"/>
      <c r="F521" s="30"/>
      <c r="G521" s="31">
        <f>G522</f>
        <v>12775.065999999999</v>
      </c>
      <c r="H521" s="31">
        <f t="shared" ref="H521:I522" si="147">H522</f>
        <v>12543.099999999999</v>
      </c>
      <c r="I521" s="31">
        <f t="shared" si="147"/>
        <v>12543.099999999999</v>
      </c>
    </row>
    <row r="522" spans="1:9" ht="13.5" x14ac:dyDescent="0.2">
      <c r="A522" s="38" t="s">
        <v>510</v>
      </c>
      <c r="B522" s="32" t="s">
        <v>508</v>
      </c>
      <c r="C522" s="32" t="s">
        <v>177</v>
      </c>
      <c r="D522" s="32" t="s">
        <v>375</v>
      </c>
      <c r="E522" s="181" t="s">
        <v>511</v>
      </c>
      <c r="F522" s="32"/>
      <c r="G522" s="33">
        <f>G523</f>
        <v>12775.065999999999</v>
      </c>
      <c r="H522" s="33">
        <f t="shared" si="147"/>
        <v>12543.099999999999</v>
      </c>
      <c r="I522" s="33">
        <f t="shared" si="147"/>
        <v>12543.099999999999</v>
      </c>
    </row>
    <row r="523" spans="1:9" x14ac:dyDescent="0.2">
      <c r="A523" s="29" t="s">
        <v>512</v>
      </c>
      <c r="B523" s="30" t="s">
        <v>508</v>
      </c>
      <c r="C523" s="30" t="s">
        <v>177</v>
      </c>
      <c r="D523" s="30" t="s">
        <v>375</v>
      </c>
      <c r="E523" s="30" t="s">
        <v>513</v>
      </c>
      <c r="F523" s="30"/>
      <c r="G523" s="31">
        <f>G524+G526+G528</f>
        <v>12775.065999999999</v>
      </c>
      <c r="H523" s="31">
        <f>H524+H526+H528</f>
        <v>12543.099999999999</v>
      </c>
      <c r="I523" s="31">
        <f>I524+I526+I528</f>
        <v>12543.099999999999</v>
      </c>
    </row>
    <row r="524" spans="1:9" ht="24" x14ac:dyDescent="0.2">
      <c r="A524" s="35" t="s">
        <v>185</v>
      </c>
      <c r="B524" s="36" t="s">
        <v>508</v>
      </c>
      <c r="C524" s="36" t="s">
        <v>177</v>
      </c>
      <c r="D524" s="36" t="s">
        <v>375</v>
      </c>
      <c r="E524" s="36" t="s">
        <v>513</v>
      </c>
      <c r="F524" s="36" t="s">
        <v>186</v>
      </c>
      <c r="G524" s="37">
        <f>G525</f>
        <v>9196.0659999999989</v>
      </c>
      <c r="H524" s="37">
        <f t="shared" ref="H524:I524" si="148">H525</f>
        <v>8964.0999999999985</v>
      </c>
      <c r="I524" s="37">
        <f t="shared" si="148"/>
        <v>8964.0999999999985</v>
      </c>
    </row>
    <row r="525" spans="1:9" x14ac:dyDescent="0.2">
      <c r="A525" s="35" t="s">
        <v>266</v>
      </c>
      <c r="B525" s="36" t="s">
        <v>508</v>
      </c>
      <c r="C525" s="36" t="s">
        <v>177</v>
      </c>
      <c r="D525" s="36" t="s">
        <v>375</v>
      </c>
      <c r="E525" s="36" t="s">
        <v>513</v>
      </c>
      <c r="F525" s="36" t="s">
        <v>267</v>
      </c>
      <c r="G525" s="37">
        <f>6854.9+30+2079.2+231.966</f>
        <v>9196.0659999999989</v>
      </c>
      <c r="H525" s="37">
        <f>6854.9+30+2079.2</f>
        <v>8964.0999999999985</v>
      </c>
      <c r="I525" s="37">
        <f>6854.9+30+2079.2</f>
        <v>8964.0999999999985</v>
      </c>
    </row>
    <row r="526" spans="1:9" x14ac:dyDescent="0.2">
      <c r="A526" s="35" t="s">
        <v>195</v>
      </c>
      <c r="B526" s="36" t="s">
        <v>508</v>
      </c>
      <c r="C526" s="36" t="s">
        <v>177</v>
      </c>
      <c r="D526" s="36" t="s">
        <v>375</v>
      </c>
      <c r="E526" s="36" t="s">
        <v>513</v>
      </c>
      <c r="F526" s="36" t="s">
        <v>196</v>
      </c>
      <c r="G526" s="37">
        <f>G527</f>
        <v>2975</v>
      </c>
      <c r="H526" s="37">
        <f>H527</f>
        <v>2975</v>
      </c>
      <c r="I526" s="37">
        <f>I527</f>
        <v>2975</v>
      </c>
    </row>
    <row r="527" spans="1:9" x14ac:dyDescent="0.2">
      <c r="A527" s="35" t="s">
        <v>197</v>
      </c>
      <c r="B527" s="36" t="s">
        <v>508</v>
      </c>
      <c r="C527" s="36" t="s">
        <v>177</v>
      </c>
      <c r="D527" s="36" t="s">
        <v>375</v>
      </c>
      <c r="E527" s="36" t="s">
        <v>513</v>
      </c>
      <c r="F527" s="36" t="s">
        <v>198</v>
      </c>
      <c r="G527" s="37">
        <v>2975</v>
      </c>
      <c r="H527" s="37">
        <v>2975</v>
      </c>
      <c r="I527" s="37">
        <v>2975</v>
      </c>
    </row>
    <row r="528" spans="1:9" x14ac:dyDescent="0.2">
      <c r="A528" s="35" t="s">
        <v>199</v>
      </c>
      <c r="B528" s="36" t="s">
        <v>508</v>
      </c>
      <c r="C528" s="36" t="s">
        <v>177</v>
      </c>
      <c r="D528" s="36" t="s">
        <v>375</v>
      </c>
      <c r="E528" s="36" t="s">
        <v>513</v>
      </c>
      <c r="F528" s="36" t="s">
        <v>200</v>
      </c>
      <c r="G528" s="37">
        <f>G529</f>
        <v>604</v>
      </c>
      <c r="H528" s="37">
        <f t="shared" ref="H528:I528" si="149">H529</f>
        <v>604</v>
      </c>
      <c r="I528" s="37">
        <f t="shared" si="149"/>
        <v>604</v>
      </c>
    </row>
    <row r="529" spans="1:9" x14ac:dyDescent="0.2">
      <c r="A529" s="35" t="s">
        <v>201</v>
      </c>
      <c r="B529" s="36" t="s">
        <v>508</v>
      </c>
      <c r="C529" s="36" t="s">
        <v>177</v>
      </c>
      <c r="D529" s="36" t="s">
        <v>375</v>
      </c>
      <c r="E529" s="36" t="s">
        <v>513</v>
      </c>
      <c r="F529" s="36" t="s">
        <v>202</v>
      </c>
      <c r="G529" s="37">
        <v>604</v>
      </c>
      <c r="H529" s="37">
        <v>604</v>
      </c>
      <c r="I529" s="37">
        <v>604</v>
      </c>
    </row>
    <row r="530" spans="1:9" x14ac:dyDescent="0.2">
      <c r="A530" s="29" t="s">
        <v>411</v>
      </c>
      <c r="B530" s="30" t="s">
        <v>508</v>
      </c>
      <c r="C530" s="30" t="s">
        <v>177</v>
      </c>
      <c r="D530" s="30" t="s">
        <v>412</v>
      </c>
      <c r="E530" s="30"/>
      <c r="F530" s="30"/>
      <c r="G530" s="31">
        <f>G531</f>
        <v>15000</v>
      </c>
      <c r="H530" s="45">
        <f t="shared" ref="H530:I533" si="150">H531</f>
        <v>0</v>
      </c>
      <c r="I530" s="45">
        <f t="shared" si="150"/>
        <v>0</v>
      </c>
    </row>
    <row r="531" spans="1:9" ht="13.5" x14ac:dyDescent="0.2">
      <c r="A531" s="38" t="s">
        <v>510</v>
      </c>
      <c r="B531" s="32" t="s">
        <v>508</v>
      </c>
      <c r="C531" s="32" t="s">
        <v>177</v>
      </c>
      <c r="D531" s="32" t="s">
        <v>412</v>
      </c>
      <c r="E531" s="181" t="s">
        <v>511</v>
      </c>
      <c r="F531" s="32"/>
      <c r="G531" s="33">
        <f>G532</f>
        <v>15000</v>
      </c>
      <c r="H531" s="61">
        <f t="shared" si="150"/>
        <v>0</v>
      </c>
      <c r="I531" s="61">
        <f t="shared" si="150"/>
        <v>0</v>
      </c>
    </row>
    <row r="532" spans="1:9" x14ac:dyDescent="0.2">
      <c r="A532" s="29" t="s">
        <v>514</v>
      </c>
      <c r="B532" s="30" t="s">
        <v>508</v>
      </c>
      <c r="C532" s="30" t="s">
        <v>177</v>
      </c>
      <c r="D532" s="30" t="s">
        <v>412</v>
      </c>
      <c r="E532" s="30" t="s">
        <v>515</v>
      </c>
      <c r="F532" s="30"/>
      <c r="G532" s="31">
        <f>G533</f>
        <v>15000</v>
      </c>
      <c r="H532" s="45">
        <f t="shared" si="150"/>
        <v>0</v>
      </c>
      <c r="I532" s="45">
        <f t="shared" si="150"/>
        <v>0</v>
      </c>
    </row>
    <row r="533" spans="1:9" x14ac:dyDescent="0.2">
      <c r="A533" s="35" t="s">
        <v>195</v>
      </c>
      <c r="B533" s="36" t="s">
        <v>508</v>
      </c>
      <c r="C533" s="36" t="s">
        <v>177</v>
      </c>
      <c r="D533" s="36" t="s">
        <v>412</v>
      </c>
      <c r="E533" s="36" t="s">
        <v>515</v>
      </c>
      <c r="F533" s="36" t="s">
        <v>196</v>
      </c>
      <c r="G533" s="37">
        <f>G534</f>
        <v>15000</v>
      </c>
      <c r="H533" s="46">
        <f t="shared" si="150"/>
        <v>0</v>
      </c>
      <c r="I533" s="46">
        <f t="shared" si="150"/>
        <v>0</v>
      </c>
    </row>
    <row r="534" spans="1:9" x14ac:dyDescent="0.2">
      <c r="A534" s="35" t="s">
        <v>197</v>
      </c>
      <c r="B534" s="36" t="s">
        <v>508</v>
      </c>
      <c r="C534" s="36" t="s">
        <v>177</v>
      </c>
      <c r="D534" s="36" t="s">
        <v>412</v>
      </c>
      <c r="E534" s="36" t="s">
        <v>515</v>
      </c>
      <c r="F534" s="36" t="s">
        <v>198</v>
      </c>
      <c r="G534" s="37">
        <v>15000</v>
      </c>
      <c r="H534" s="46">
        <v>0</v>
      </c>
      <c r="I534" s="46">
        <v>0</v>
      </c>
    </row>
    <row r="535" spans="1:9" x14ac:dyDescent="0.2">
      <c r="A535" s="29" t="s">
        <v>367</v>
      </c>
      <c r="B535" s="30" t="s">
        <v>508</v>
      </c>
      <c r="C535" s="30" t="s">
        <v>206</v>
      </c>
      <c r="D535" s="30" t="s">
        <v>174</v>
      </c>
      <c r="E535" s="30"/>
      <c r="F535" s="30"/>
      <c r="G535" s="31">
        <f>G536+G574</f>
        <v>1107972.08983</v>
      </c>
      <c r="H535" s="31">
        <f>H536+H574</f>
        <v>615587.69999999995</v>
      </c>
      <c r="I535" s="31">
        <f>I536+I574</f>
        <v>497043</v>
      </c>
    </row>
    <row r="536" spans="1:9" x14ac:dyDescent="0.2">
      <c r="A536" s="29" t="s">
        <v>368</v>
      </c>
      <c r="B536" s="30" t="s">
        <v>508</v>
      </c>
      <c r="C536" s="30" t="s">
        <v>206</v>
      </c>
      <c r="D536" s="30" t="s">
        <v>283</v>
      </c>
      <c r="E536" s="30"/>
      <c r="F536" s="30"/>
      <c r="G536" s="31">
        <f>G537+G562+G569</f>
        <v>1094160.3193999999</v>
      </c>
      <c r="H536" s="31">
        <f>H537+H562+H569</f>
        <v>604084.1</v>
      </c>
      <c r="I536" s="31">
        <f>I537+I562+I569</f>
        <v>485539.4</v>
      </c>
    </row>
    <row r="537" spans="1:9" ht="13.5" x14ac:dyDescent="0.2">
      <c r="A537" s="38" t="s">
        <v>516</v>
      </c>
      <c r="B537" s="32" t="s">
        <v>508</v>
      </c>
      <c r="C537" s="32" t="s">
        <v>206</v>
      </c>
      <c r="D537" s="32" t="s">
        <v>283</v>
      </c>
      <c r="E537" s="181" t="s">
        <v>511</v>
      </c>
      <c r="F537" s="32"/>
      <c r="G537" s="33">
        <f>G538+G541+G544+G547+G550+G553+G556+G559</f>
        <v>991706.88500000001</v>
      </c>
      <c r="H537" s="33">
        <f>H538+H541+H544+H547+H550+H553+H556+H559</f>
        <v>594084.1</v>
      </c>
      <c r="I537" s="33">
        <f>I538+I541+I544+I547+I550+I553+I556+I559</f>
        <v>485539.4</v>
      </c>
    </row>
    <row r="538" spans="1:9" x14ac:dyDescent="0.2">
      <c r="A538" s="50" t="s">
        <v>517</v>
      </c>
      <c r="B538" s="30" t="s">
        <v>508</v>
      </c>
      <c r="C538" s="30" t="s">
        <v>206</v>
      </c>
      <c r="D538" s="30" t="s">
        <v>283</v>
      </c>
      <c r="E538" s="30" t="s">
        <v>518</v>
      </c>
      <c r="F538" s="30"/>
      <c r="G538" s="31">
        <f>G539</f>
        <v>202835.58500000002</v>
      </c>
      <c r="H538" s="31">
        <f t="shared" ref="H538:I539" si="151">H539</f>
        <v>83017.8</v>
      </c>
      <c r="I538" s="31">
        <f t="shared" si="151"/>
        <v>67957</v>
      </c>
    </row>
    <row r="539" spans="1:9" s="192" customFormat="1" x14ac:dyDescent="0.2">
      <c r="A539" s="35" t="s">
        <v>195</v>
      </c>
      <c r="B539" s="36" t="s">
        <v>508</v>
      </c>
      <c r="C539" s="36" t="s">
        <v>206</v>
      </c>
      <c r="D539" s="36" t="s">
        <v>283</v>
      </c>
      <c r="E539" s="36" t="s">
        <v>518</v>
      </c>
      <c r="F539" s="36" t="s">
        <v>196</v>
      </c>
      <c r="G539" s="37">
        <f>G540</f>
        <v>202835.58500000002</v>
      </c>
      <c r="H539" s="37">
        <f t="shared" si="151"/>
        <v>83017.8</v>
      </c>
      <c r="I539" s="37">
        <f t="shared" si="151"/>
        <v>67957</v>
      </c>
    </row>
    <row r="540" spans="1:9" s="192" customFormat="1" x14ac:dyDescent="0.2">
      <c r="A540" s="35" t="s">
        <v>197</v>
      </c>
      <c r="B540" s="36" t="s">
        <v>508</v>
      </c>
      <c r="C540" s="36" t="s">
        <v>206</v>
      </c>
      <c r="D540" s="36" t="s">
        <v>283</v>
      </c>
      <c r="E540" s="36" t="s">
        <v>518</v>
      </c>
      <c r="F540" s="36" t="s">
        <v>198</v>
      </c>
      <c r="G540" s="37">
        <f>101364.8+80000-10000-30503+7189.57+5836.2+27184.105+1763.91+10000+10000</f>
        <v>202835.58500000002</v>
      </c>
      <c r="H540" s="37">
        <f>103000-20000+20000-19982.2</f>
        <v>83017.8</v>
      </c>
      <c r="I540" s="37">
        <f>103000-50000+14957</f>
        <v>67957</v>
      </c>
    </row>
    <row r="541" spans="1:9" s="192" customFormat="1" x14ac:dyDescent="0.2">
      <c r="A541" s="29" t="s">
        <v>519</v>
      </c>
      <c r="B541" s="30" t="s">
        <v>508</v>
      </c>
      <c r="C541" s="30" t="s">
        <v>206</v>
      </c>
      <c r="D541" s="30" t="s">
        <v>283</v>
      </c>
      <c r="E541" s="30" t="s">
        <v>520</v>
      </c>
      <c r="F541" s="30"/>
      <c r="G541" s="31">
        <f>G542</f>
        <v>1000</v>
      </c>
      <c r="H541" s="31">
        <f t="shared" ref="H541:I542" si="152">H542</f>
        <v>1000</v>
      </c>
      <c r="I541" s="31">
        <f t="shared" si="152"/>
        <v>1000</v>
      </c>
    </row>
    <row r="542" spans="1:9" x14ac:dyDescent="0.2">
      <c r="A542" s="35" t="s">
        <v>195</v>
      </c>
      <c r="B542" s="36" t="s">
        <v>508</v>
      </c>
      <c r="C542" s="36" t="s">
        <v>206</v>
      </c>
      <c r="D542" s="36" t="s">
        <v>283</v>
      </c>
      <c r="E542" s="36" t="s">
        <v>520</v>
      </c>
      <c r="F542" s="36" t="s">
        <v>196</v>
      </c>
      <c r="G542" s="37">
        <f>G543</f>
        <v>1000</v>
      </c>
      <c r="H542" s="37">
        <f t="shared" si="152"/>
        <v>1000</v>
      </c>
      <c r="I542" s="37">
        <f t="shared" si="152"/>
        <v>1000</v>
      </c>
    </row>
    <row r="543" spans="1:9" x14ac:dyDescent="0.2">
      <c r="A543" s="35" t="s">
        <v>197</v>
      </c>
      <c r="B543" s="36" t="s">
        <v>508</v>
      </c>
      <c r="C543" s="36" t="s">
        <v>206</v>
      </c>
      <c r="D543" s="36" t="s">
        <v>283</v>
      </c>
      <c r="E543" s="36" t="s">
        <v>520</v>
      </c>
      <c r="F543" s="36" t="s">
        <v>198</v>
      </c>
      <c r="G543" s="37">
        <v>1000</v>
      </c>
      <c r="H543" s="37">
        <v>1000</v>
      </c>
      <c r="I543" s="37">
        <v>1000</v>
      </c>
    </row>
    <row r="544" spans="1:9" x14ac:dyDescent="0.2">
      <c r="A544" s="29" t="s">
        <v>521</v>
      </c>
      <c r="B544" s="30" t="s">
        <v>508</v>
      </c>
      <c r="C544" s="30" t="s">
        <v>206</v>
      </c>
      <c r="D544" s="30" t="s">
        <v>283</v>
      </c>
      <c r="E544" s="30" t="s">
        <v>522</v>
      </c>
      <c r="F544" s="30"/>
      <c r="G544" s="45">
        <f>G545</f>
        <v>7000</v>
      </c>
      <c r="H544" s="45">
        <f t="shared" ref="H544:I545" si="153">H545</f>
        <v>7000</v>
      </c>
      <c r="I544" s="45">
        <f t="shared" si="153"/>
        <v>7000</v>
      </c>
    </row>
    <row r="545" spans="1:9" x14ac:dyDescent="0.2">
      <c r="A545" s="35" t="s">
        <v>195</v>
      </c>
      <c r="B545" s="36" t="s">
        <v>508</v>
      </c>
      <c r="C545" s="36" t="s">
        <v>206</v>
      </c>
      <c r="D545" s="36" t="s">
        <v>283</v>
      </c>
      <c r="E545" s="36" t="s">
        <v>522</v>
      </c>
      <c r="F545" s="36" t="s">
        <v>196</v>
      </c>
      <c r="G545" s="46">
        <f>G546</f>
        <v>7000</v>
      </c>
      <c r="H545" s="46">
        <f t="shared" si="153"/>
        <v>7000</v>
      </c>
      <c r="I545" s="46">
        <f t="shared" si="153"/>
        <v>7000</v>
      </c>
    </row>
    <row r="546" spans="1:9" x14ac:dyDescent="0.2">
      <c r="A546" s="35" t="s">
        <v>197</v>
      </c>
      <c r="B546" s="36" t="s">
        <v>508</v>
      </c>
      <c r="C546" s="36" t="s">
        <v>206</v>
      </c>
      <c r="D546" s="36" t="s">
        <v>283</v>
      </c>
      <c r="E546" s="36" t="s">
        <v>522</v>
      </c>
      <c r="F546" s="36" t="s">
        <v>198</v>
      </c>
      <c r="G546" s="46">
        <v>7000</v>
      </c>
      <c r="H546" s="37">
        <v>7000</v>
      </c>
      <c r="I546" s="37">
        <v>7000</v>
      </c>
    </row>
    <row r="547" spans="1:9" ht="24" x14ac:dyDescent="0.2">
      <c r="A547" s="50" t="s">
        <v>523</v>
      </c>
      <c r="B547" s="30" t="s">
        <v>508</v>
      </c>
      <c r="C547" s="30" t="s">
        <v>206</v>
      </c>
      <c r="D547" s="30" t="s">
        <v>283</v>
      </c>
      <c r="E547" s="30" t="s">
        <v>524</v>
      </c>
      <c r="F547" s="30"/>
      <c r="G547" s="31">
        <f>G548</f>
        <v>32263.5</v>
      </c>
      <c r="H547" s="31">
        <f t="shared" ref="H547:I548" si="154">H548</f>
        <v>7000</v>
      </c>
      <c r="I547" s="31">
        <f t="shared" si="154"/>
        <v>7000</v>
      </c>
    </row>
    <row r="548" spans="1:9" x14ac:dyDescent="0.2">
      <c r="A548" s="35" t="s">
        <v>195</v>
      </c>
      <c r="B548" s="36" t="s">
        <v>508</v>
      </c>
      <c r="C548" s="36" t="s">
        <v>206</v>
      </c>
      <c r="D548" s="36" t="s">
        <v>283</v>
      </c>
      <c r="E548" s="36" t="s">
        <v>524</v>
      </c>
      <c r="F548" s="36" t="s">
        <v>196</v>
      </c>
      <c r="G548" s="37">
        <f>G549</f>
        <v>32263.5</v>
      </c>
      <c r="H548" s="37">
        <f t="shared" si="154"/>
        <v>7000</v>
      </c>
      <c r="I548" s="37">
        <f t="shared" si="154"/>
        <v>7000</v>
      </c>
    </row>
    <row r="549" spans="1:9" x14ac:dyDescent="0.2">
      <c r="A549" s="35" t="s">
        <v>197</v>
      </c>
      <c r="B549" s="36" t="s">
        <v>508</v>
      </c>
      <c r="C549" s="36" t="s">
        <v>206</v>
      </c>
      <c r="D549" s="36" t="s">
        <v>283</v>
      </c>
      <c r="E549" s="36" t="s">
        <v>524</v>
      </c>
      <c r="F549" s="36" t="s">
        <v>198</v>
      </c>
      <c r="G549" s="37">
        <f>7000+10000+1230.38+222.42+1810.7+12000</f>
        <v>32263.5</v>
      </c>
      <c r="H549" s="37">
        <v>7000</v>
      </c>
      <c r="I549" s="37">
        <v>7000</v>
      </c>
    </row>
    <row r="550" spans="1:9" x14ac:dyDescent="0.2">
      <c r="A550" s="50" t="s">
        <v>525</v>
      </c>
      <c r="B550" s="30" t="s">
        <v>508</v>
      </c>
      <c r="C550" s="30" t="s">
        <v>206</v>
      </c>
      <c r="D550" s="30" t="s">
        <v>283</v>
      </c>
      <c r="E550" s="55" t="s">
        <v>526</v>
      </c>
      <c r="F550" s="55"/>
      <c r="G550" s="31">
        <f>G551</f>
        <v>5000</v>
      </c>
      <c r="H550" s="31">
        <f t="shared" ref="H550:I551" si="155">H551</f>
        <v>5000</v>
      </c>
      <c r="I550" s="31">
        <f t="shared" si="155"/>
        <v>5000</v>
      </c>
    </row>
    <row r="551" spans="1:9" x14ac:dyDescent="0.2">
      <c r="A551" s="35" t="s">
        <v>195</v>
      </c>
      <c r="B551" s="36" t="s">
        <v>508</v>
      </c>
      <c r="C551" s="36" t="s">
        <v>206</v>
      </c>
      <c r="D551" s="36" t="s">
        <v>283</v>
      </c>
      <c r="E551" s="48" t="s">
        <v>526</v>
      </c>
      <c r="F551" s="36" t="s">
        <v>196</v>
      </c>
      <c r="G551" s="37">
        <f>G552</f>
        <v>5000</v>
      </c>
      <c r="H551" s="37">
        <f t="shared" si="155"/>
        <v>5000</v>
      </c>
      <c r="I551" s="37">
        <f t="shared" si="155"/>
        <v>5000</v>
      </c>
    </row>
    <row r="552" spans="1:9" x14ac:dyDescent="0.2">
      <c r="A552" s="35" t="s">
        <v>197</v>
      </c>
      <c r="B552" s="36" t="s">
        <v>508</v>
      </c>
      <c r="C552" s="36" t="s">
        <v>206</v>
      </c>
      <c r="D552" s="36" t="s">
        <v>283</v>
      </c>
      <c r="E552" s="48" t="s">
        <v>526</v>
      </c>
      <c r="F552" s="36" t="s">
        <v>198</v>
      </c>
      <c r="G552" s="37">
        <v>5000</v>
      </c>
      <c r="H552" s="37">
        <v>5000</v>
      </c>
      <c r="I552" s="37">
        <v>5000</v>
      </c>
    </row>
    <row r="553" spans="1:9" x14ac:dyDescent="0.2">
      <c r="A553" s="29" t="s">
        <v>527</v>
      </c>
      <c r="B553" s="30" t="s">
        <v>508</v>
      </c>
      <c r="C553" s="30" t="s">
        <v>206</v>
      </c>
      <c r="D553" s="30" t="s">
        <v>283</v>
      </c>
      <c r="E553" s="30" t="s">
        <v>528</v>
      </c>
      <c r="F553" s="30"/>
      <c r="G553" s="31">
        <f>G554</f>
        <v>149000</v>
      </c>
      <c r="H553" s="31">
        <f t="shared" ref="H553:I554" si="156">H554</f>
        <v>98873</v>
      </c>
      <c r="I553" s="31">
        <f t="shared" si="156"/>
        <v>50000</v>
      </c>
    </row>
    <row r="554" spans="1:9" x14ac:dyDescent="0.2">
      <c r="A554" s="35" t="s">
        <v>195</v>
      </c>
      <c r="B554" s="36" t="s">
        <v>508</v>
      </c>
      <c r="C554" s="36" t="s">
        <v>206</v>
      </c>
      <c r="D554" s="36" t="s">
        <v>283</v>
      </c>
      <c r="E554" s="36" t="s">
        <v>528</v>
      </c>
      <c r="F554" s="36" t="s">
        <v>196</v>
      </c>
      <c r="G554" s="37">
        <f>G555</f>
        <v>149000</v>
      </c>
      <c r="H554" s="37">
        <f t="shared" si="156"/>
        <v>98873</v>
      </c>
      <c r="I554" s="37">
        <f t="shared" si="156"/>
        <v>50000</v>
      </c>
    </row>
    <row r="555" spans="1:9" x14ac:dyDescent="0.2">
      <c r="A555" s="35" t="s">
        <v>197</v>
      </c>
      <c r="B555" s="36" t="s">
        <v>508</v>
      </c>
      <c r="C555" s="36" t="s">
        <v>206</v>
      </c>
      <c r="D555" s="36" t="s">
        <v>283</v>
      </c>
      <c r="E555" s="36" t="s">
        <v>528</v>
      </c>
      <c r="F555" s="36" t="s">
        <v>198</v>
      </c>
      <c r="G555" s="37">
        <f>100000+52000-13000+10000</f>
        <v>149000</v>
      </c>
      <c r="H555" s="37">
        <f>100000-5000-10000+13873</f>
        <v>98873</v>
      </c>
      <c r="I555" s="37">
        <f>100000-50000</f>
        <v>50000</v>
      </c>
    </row>
    <row r="556" spans="1:9" ht="24" x14ac:dyDescent="0.2">
      <c r="A556" s="29" t="s">
        <v>529</v>
      </c>
      <c r="B556" s="30" t="s">
        <v>508</v>
      </c>
      <c r="C556" s="30" t="s">
        <v>206</v>
      </c>
      <c r="D556" s="30" t="s">
        <v>283</v>
      </c>
      <c r="E556" s="30" t="s">
        <v>530</v>
      </c>
      <c r="F556" s="30"/>
      <c r="G556" s="31">
        <f>G557</f>
        <v>478593.39999999997</v>
      </c>
      <c r="H556" s="31">
        <f t="shared" ref="H556:I557" si="157">H557</f>
        <v>311128.90000000002</v>
      </c>
      <c r="I556" s="31">
        <f t="shared" si="157"/>
        <v>271518</v>
      </c>
    </row>
    <row r="557" spans="1:9" x14ac:dyDescent="0.2">
      <c r="A557" s="35" t="s">
        <v>356</v>
      </c>
      <c r="B557" s="36" t="s">
        <v>508</v>
      </c>
      <c r="C557" s="36" t="s">
        <v>206</v>
      </c>
      <c r="D557" s="36" t="s">
        <v>283</v>
      </c>
      <c r="E557" s="36" t="s">
        <v>530</v>
      </c>
      <c r="F557" s="36" t="s">
        <v>357</v>
      </c>
      <c r="G557" s="37">
        <f>G558</f>
        <v>478593.39999999997</v>
      </c>
      <c r="H557" s="37">
        <f t="shared" si="157"/>
        <v>311128.90000000002</v>
      </c>
      <c r="I557" s="37">
        <f t="shared" si="157"/>
        <v>271518</v>
      </c>
    </row>
    <row r="558" spans="1:9" x14ac:dyDescent="0.2">
      <c r="A558" s="35" t="s">
        <v>358</v>
      </c>
      <c r="B558" s="36" t="s">
        <v>508</v>
      </c>
      <c r="C558" s="36" t="s">
        <v>206</v>
      </c>
      <c r="D558" s="36" t="s">
        <v>283</v>
      </c>
      <c r="E558" s="36" t="s">
        <v>530</v>
      </c>
      <c r="F558" s="36" t="s">
        <v>359</v>
      </c>
      <c r="G558" s="37">
        <f>346949.5+649+3905.5+24571.8+7000+3890+8500+15000+30503+33624.6+4000</f>
        <v>478593.39999999997</v>
      </c>
      <c r="H558" s="37">
        <f>346949.5+649-46080.5-5000-5371.3+19982.2</f>
        <v>311128.90000000002</v>
      </c>
      <c r="I558" s="37">
        <f>346949.5+649-46080.5-30000</f>
        <v>271518</v>
      </c>
    </row>
    <row r="559" spans="1:9" x14ac:dyDescent="0.2">
      <c r="A559" s="29" t="s">
        <v>531</v>
      </c>
      <c r="B559" s="30" t="s">
        <v>508</v>
      </c>
      <c r="C559" s="30" t="s">
        <v>206</v>
      </c>
      <c r="D559" s="30" t="s">
        <v>283</v>
      </c>
      <c r="E559" s="30" t="s">
        <v>532</v>
      </c>
      <c r="F559" s="30"/>
      <c r="G559" s="31">
        <f>G560</f>
        <v>116014.39999999999</v>
      </c>
      <c r="H559" s="31">
        <f t="shared" ref="H559:I560" si="158">H560</f>
        <v>81064.399999999994</v>
      </c>
      <c r="I559" s="31">
        <f t="shared" si="158"/>
        <v>76064.399999999994</v>
      </c>
    </row>
    <row r="560" spans="1:9" x14ac:dyDescent="0.2">
      <c r="A560" s="35" t="s">
        <v>195</v>
      </c>
      <c r="B560" s="36" t="s">
        <v>508</v>
      </c>
      <c r="C560" s="36" t="s">
        <v>206</v>
      </c>
      <c r="D560" s="36" t="s">
        <v>283</v>
      </c>
      <c r="E560" s="36" t="s">
        <v>532</v>
      </c>
      <c r="F560" s="36" t="s">
        <v>196</v>
      </c>
      <c r="G560" s="37">
        <f>G561</f>
        <v>116014.39999999999</v>
      </c>
      <c r="H560" s="37">
        <f t="shared" si="158"/>
        <v>81064.399999999994</v>
      </c>
      <c r="I560" s="37">
        <f t="shared" si="158"/>
        <v>76064.399999999994</v>
      </c>
    </row>
    <row r="561" spans="1:9" x14ac:dyDescent="0.2">
      <c r="A561" s="35" t="s">
        <v>197</v>
      </c>
      <c r="B561" s="36" t="s">
        <v>508</v>
      </c>
      <c r="C561" s="36" t="s">
        <v>206</v>
      </c>
      <c r="D561" s="36" t="s">
        <v>283</v>
      </c>
      <c r="E561" s="36" t="s">
        <v>532</v>
      </c>
      <c r="F561" s="36" t="s">
        <v>198</v>
      </c>
      <c r="G561" s="37">
        <f>101064.4+15000+450-8500+8000</f>
        <v>116014.39999999999</v>
      </c>
      <c r="H561" s="37">
        <f>101064.4-5000-15000</f>
        <v>81064.399999999994</v>
      </c>
      <c r="I561" s="37">
        <f>101064.4-25000</f>
        <v>76064.399999999994</v>
      </c>
    </row>
    <row r="562" spans="1:9" ht="27" x14ac:dyDescent="0.2">
      <c r="A562" s="38" t="s">
        <v>533</v>
      </c>
      <c r="B562" s="32" t="s">
        <v>508</v>
      </c>
      <c r="C562" s="32" t="s">
        <v>206</v>
      </c>
      <c r="D562" s="32" t="s">
        <v>283</v>
      </c>
      <c r="E562" s="181" t="s">
        <v>534</v>
      </c>
      <c r="F562" s="32"/>
      <c r="G562" s="33">
        <f>G563+G566</f>
        <v>96853.434399999998</v>
      </c>
      <c r="H562" s="33">
        <f>H563+H566</f>
        <v>10000</v>
      </c>
      <c r="I562" s="61">
        <f>I563+I566</f>
        <v>0</v>
      </c>
    </row>
    <row r="563" spans="1:9" x14ac:dyDescent="0.2">
      <c r="A563" s="29" t="s">
        <v>535</v>
      </c>
      <c r="B563" s="30" t="s">
        <v>508</v>
      </c>
      <c r="C563" s="30" t="s">
        <v>206</v>
      </c>
      <c r="D563" s="30" t="s">
        <v>283</v>
      </c>
      <c r="E563" s="51" t="s">
        <v>536</v>
      </c>
      <c r="F563" s="30"/>
      <c r="G563" s="45">
        <f>G564</f>
        <v>86853.434399999998</v>
      </c>
      <c r="H563" s="45">
        <f t="shared" ref="H563:I564" si="159">H564</f>
        <v>0</v>
      </c>
      <c r="I563" s="45">
        <f t="shared" si="159"/>
        <v>0</v>
      </c>
    </row>
    <row r="564" spans="1:9" x14ac:dyDescent="0.2">
      <c r="A564" s="35" t="s">
        <v>195</v>
      </c>
      <c r="B564" s="36" t="s">
        <v>508</v>
      </c>
      <c r="C564" s="36" t="s">
        <v>206</v>
      </c>
      <c r="D564" s="36" t="s">
        <v>283</v>
      </c>
      <c r="E564" s="44" t="s">
        <v>536</v>
      </c>
      <c r="F564" s="36" t="s">
        <v>196</v>
      </c>
      <c r="G564" s="46">
        <f>G565</f>
        <v>86853.434399999998</v>
      </c>
      <c r="H564" s="46">
        <f t="shared" si="159"/>
        <v>0</v>
      </c>
      <c r="I564" s="46">
        <f t="shared" si="159"/>
        <v>0</v>
      </c>
    </row>
    <row r="565" spans="1:9" x14ac:dyDescent="0.2">
      <c r="A565" s="35" t="s">
        <v>197</v>
      </c>
      <c r="B565" s="36" t="s">
        <v>508</v>
      </c>
      <c r="C565" s="36" t="s">
        <v>206</v>
      </c>
      <c r="D565" s="36" t="s">
        <v>283</v>
      </c>
      <c r="E565" s="44" t="s">
        <v>536</v>
      </c>
      <c r="F565" s="36" t="s">
        <v>198</v>
      </c>
      <c r="G565" s="46">
        <v>86853.434399999998</v>
      </c>
      <c r="H565" s="46">
        <v>0</v>
      </c>
      <c r="I565" s="46">
        <v>0</v>
      </c>
    </row>
    <row r="566" spans="1:9" x14ac:dyDescent="0.2">
      <c r="A566" s="29" t="s">
        <v>537</v>
      </c>
      <c r="B566" s="30" t="s">
        <v>508</v>
      </c>
      <c r="C566" s="30" t="s">
        <v>206</v>
      </c>
      <c r="D566" s="30" t="s">
        <v>283</v>
      </c>
      <c r="E566" s="51" t="s">
        <v>538</v>
      </c>
      <c r="F566" s="30"/>
      <c r="G566" s="31">
        <f>G567</f>
        <v>10000</v>
      </c>
      <c r="H566" s="31">
        <f t="shared" ref="H566:I567" si="160">H567</f>
        <v>10000</v>
      </c>
      <c r="I566" s="45">
        <f t="shared" si="160"/>
        <v>0</v>
      </c>
    </row>
    <row r="567" spans="1:9" x14ac:dyDescent="0.2">
      <c r="A567" s="35" t="s">
        <v>195</v>
      </c>
      <c r="B567" s="36" t="s">
        <v>508</v>
      </c>
      <c r="C567" s="36" t="s">
        <v>206</v>
      </c>
      <c r="D567" s="36" t="s">
        <v>283</v>
      </c>
      <c r="E567" s="44" t="s">
        <v>538</v>
      </c>
      <c r="F567" s="36" t="s">
        <v>196</v>
      </c>
      <c r="G567" s="37">
        <f>G568</f>
        <v>10000</v>
      </c>
      <c r="H567" s="37">
        <f t="shared" si="160"/>
        <v>10000</v>
      </c>
      <c r="I567" s="46">
        <f t="shared" si="160"/>
        <v>0</v>
      </c>
    </row>
    <row r="568" spans="1:9" x14ac:dyDescent="0.2">
      <c r="A568" s="35" t="s">
        <v>197</v>
      </c>
      <c r="B568" s="36" t="s">
        <v>508</v>
      </c>
      <c r="C568" s="36" t="s">
        <v>206</v>
      </c>
      <c r="D568" s="36" t="s">
        <v>283</v>
      </c>
      <c r="E568" s="44" t="s">
        <v>538</v>
      </c>
      <c r="F568" s="36" t="s">
        <v>198</v>
      </c>
      <c r="G568" s="37">
        <v>10000</v>
      </c>
      <c r="H568" s="37">
        <v>10000</v>
      </c>
      <c r="I568" s="46">
        <v>0</v>
      </c>
    </row>
    <row r="569" spans="1:9" x14ac:dyDescent="0.2">
      <c r="A569" s="39" t="s">
        <v>178</v>
      </c>
      <c r="B569" s="40" t="s">
        <v>508</v>
      </c>
      <c r="C569" s="40" t="s">
        <v>206</v>
      </c>
      <c r="D569" s="40" t="s">
        <v>283</v>
      </c>
      <c r="E569" s="40" t="s">
        <v>189</v>
      </c>
      <c r="F569" s="40"/>
      <c r="G569" s="47">
        <f t="shared" ref="G569:H572" si="161">G570</f>
        <v>5600</v>
      </c>
      <c r="H569" s="47">
        <f t="shared" si="161"/>
        <v>0</v>
      </c>
      <c r="I569" s="47">
        <f>I570</f>
        <v>0</v>
      </c>
    </row>
    <row r="570" spans="1:9" x14ac:dyDescent="0.2">
      <c r="A570" s="29" t="s">
        <v>180</v>
      </c>
      <c r="B570" s="30" t="s">
        <v>508</v>
      </c>
      <c r="C570" s="30" t="s">
        <v>206</v>
      </c>
      <c r="D570" s="30" t="s">
        <v>283</v>
      </c>
      <c r="E570" s="30" t="s">
        <v>190</v>
      </c>
      <c r="F570" s="30"/>
      <c r="G570" s="45">
        <f t="shared" si="161"/>
        <v>5600</v>
      </c>
      <c r="H570" s="45">
        <f t="shared" si="161"/>
        <v>0</v>
      </c>
      <c r="I570" s="45">
        <f>I571</f>
        <v>0</v>
      </c>
    </row>
    <row r="571" spans="1:9" x14ac:dyDescent="0.2">
      <c r="A571" s="29" t="s">
        <v>211</v>
      </c>
      <c r="B571" s="30" t="s">
        <v>508</v>
      </c>
      <c r="C571" s="30" t="s">
        <v>206</v>
      </c>
      <c r="D571" s="30" t="s">
        <v>283</v>
      </c>
      <c r="E571" s="30" t="s">
        <v>212</v>
      </c>
      <c r="F571" s="30"/>
      <c r="G571" s="45">
        <f t="shared" si="161"/>
        <v>5600</v>
      </c>
      <c r="H571" s="45">
        <f t="shared" si="161"/>
        <v>0</v>
      </c>
      <c r="I571" s="45">
        <f>I572</f>
        <v>0</v>
      </c>
    </row>
    <row r="572" spans="1:9" x14ac:dyDescent="0.2">
      <c r="A572" s="35" t="s">
        <v>356</v>
      </c>
      <c r="B572" s="36" t="s">
        <v>508</v>
      </c>
      <c r="C572" s="36" t="s">
        <v>206</v>
      </c>
      <c r="D572" s="36" t="s">
        <v>283</v>
      </c>
      <c r="E572" s="36" t="s">
        <v>212</v>
      </c>
      <c r="F572" s="36" t="s">
        <v>357</v>
      </c>
      <c r="G572" s="46">
        <f t="shared" si="161"/>
        <v>5600</v>
      </c>
      <c r="H572" s="46">
        <f t="shared" si="161"/>
        <v>0</v>
      </c>
      <c r="I572" s="46">
        <f>I573</f>
        <v>0</v>
      </c>
    </row>
    <row r="573" spans="1:9" x14ac:dyDescent="0.2">
      <c r="A573" s="35" t="s">
        <v>358</v>
      </c>
      <c r="B573" s="36" t="s">
        <v>508</v>
      </c>
      <c r="C573" s="36" t="s">
        <v>206</v>
      </c>
      <c r="D573" s="36" t="s">
        <v>283</v>
      </c>
      <c r="E573" s="36" t="s">
        <v>212</v>
      </c>
      <c r="F573" s="36" t="s">
        <v>359</v>
      </c>
      <c r="G573" s="46">
        <v>5600</v>
      </c>
      <c r="H573" s="46">
        <v>0</v>
      </c>
      <c r="I573" s="46">
        <v>0</v>
      </c>
    </row>
    <row r="574" spans="1:9" x14ac:dyDescent="0.2">
      <c r="A574" s="29" t="s">
        <v>539</v>
      </c>
      <c r="B574" s="30" t="s">
        <v>508</v>
      </c>
      <c r="C574" s="30" t="s">
        <v>206</v>
      </c>
      <c r="D574" s="30" t="s">
        <v>206</v>
      </c>
      <c r="E574" s="30"/>
      <c r="F574" s="30"/>
      <c r="G574" s="31">
        <f>G575+G585</f>
        <v>13811.77043</v>
      </c>
      <c r="H574" s="31">
        <f>H575+H585</f>
        <v>11503.6</v>
      </c>
      <c r="I574" s="31">
        <f>I575+I585</f>
        <v>11503.6</v>
      </c>
    </row>
    <row r="575" spans="1:9" ht="13.5" x14ac:dyDescent="0.2">
      <c r="A575" s="38" t="s">
        <v>516</v>
      </c>
      <c r="B575" s="32" t="s">
        <v>508</v>
      </c>
      <c r="C575" s="32" t="s">
        <v>206</v>
      </c>
      <c r="D575" s="32" t="s">
        <v>206</v>
      </c>
      <c r="E575" s="32" t="s">
        <v>511</v>
      </c>
      <c r="F575" s="32"/>
      <c r="G575" s="33">
        <f>G576</f>
        <v>13343.886</v>
      </c>
      <c r="H575" s="33">
        <f t="shared" ref="H575:I575" si="162">H576</f>
        <v>11503.6</v>
      </c>
      <c r="I575" s="33">
        <f t="shared" si="162"/>
        <v>11503.6</v>
      </c>
    </row>
    <row r="576" spans="1:9" x14ac:dyDescent="0.2">
      <c r="A576" s="29" t="s">
        <v>540</v>
      </c>
      <c r="B576" s="30" t="s">
        <v>508</v>
      </c>
      <c r="C576" s="30" t="s">
        <v>206</v>
      </c>
      <c r="D576" s="30" t="s">
        <v>206</v>
      </c>
      <c r="E576" s="30" t="s">
        <v>511</v>
      </c>
      <c r="F576" s="30"/>
      <c r="G576" s="31">
        <f>G577+G580</f>
        <v>13343.886</v>
      </c>
      <c r="H576" s="31">
        <f>H577+H580</f>
        <v>11503.6</v>
      </c>
      <c r="I576" s="31">
        <f>I577+I580</f>
        <v>11503.6</v>
      </c>
    </row>
    <row r="577" spans="1:9" x14ac:dyDescent="0.2">
      <c r="A577" s="29" t="s">
        <v>492</v>
      </c>
      <c r="B577" s="30" t="s">
        <v>508</v>
      </c>
      <c r="C577" s="30" t="s">
        <v>206</v>
      </c>
      <c r="D577" s="30" t="s">
        <v>206</v>
      </c>
      <c r="E577" s="30" t="s">
        <v>541</v>
      </c>
      <c r="F577" s="30"/>
      <c r="G577" s="31">
        <f>G578</f>
        <v>12809.705</v>
      </c>
      <c r="H577" s="31">
        <f t="shared" ref="H577:I578" si="163">H578</f>
        <v>11026.6</v>
      </c>
      <c r="I577" s="31">
        <f t="shared" si="163"/>
        <v>11026.6</v>
      </c>
    </row>
    <row r="578" spans="1:9" ht="24" x14ac:dyDescent="0.2">
      <c r="A578" s="35" t="s">
        <v>185</v>
      </c>
      <c r="B578" s="36" t="s">
        <v>508</v>
      </c>
      <c r="C578" s="36" t="s">
        <v>206</v>
      </c>
      <c r="D578" s="36" t="s">
        <v>206</v>
      </c>
      <c r="E578" s="36" t="s">
        <v>541</v>
      </c>
      <c r="F578" s="36" t="s">
        <v>186</v>
      </c>
      <c r="G578" s="37">
        <f>G579</f>
        <v>12809.705</v>
      </c>
      <c r="H578" s="37">
        <f t="shared" si="163"/>
        <v>11026.6</v>
      </c>
      <c r="I578" s="37">
        <f t="shared" si="163"/>
        <v>11026.6</v>
      </c>
    </row>
    <row r="579" spans="1:9" x14ac:dyDescent="0.2">
      <c r="A579" s="35" t="s">
        <v>187</v>
      </c>
      <c r="B579" s="36" t="s">
        <v>508</v>
      </c>
      <c r="C579" s="36" t="s">
        <v>206</v>
      </c>
      <c r="D579" s="36" t="s">
        <v>206</v>
      </c>
      <c r="E579" s="36" t="s">
        <v>541</v>
      </c>
      <c r="F579" s="36" t="s">
        <v>188</v>
      </c>
      <c r="G579" s="37">
        <f>8459+10+2557.6+1783.105</f>
        <v>12809.705</v>
      </c>
      <c r="H579" s="37">
        <f t="shared" ref="H579:I579" si="164">8459+10+2557.6</f>
        <v>11026.6</v>
      </c>
      <c r="I579" s="37">
        <f t="shared" si="164"/>
        <v>11026.6</v>
      </c>
    </row>
    <row r="580" spans="1:9" x14ac:dyDescent="0.2">
      <c r="A580" s="29" t="s">
        <v>193</v>
      </c>
      <c r="B580" s="30" t="s">
        <v>508</v>
      </c>
      <c r="C580" s="30" t="s">
        <v>206</v>
      </c>
      <c r="D580" s="30" t="s">
        <v>206</v>
      </c>
      <c r="E580" s="30" t="s">
        <v>542</v>
      </c>
      <c r="F580" s="30"/>
      <c r="G580" s="31">
        <f>G581+G583</f>
        <v>534.18100000000004</v>
      </c>
      <c r="H580" s="31">
        <f>H581+H583</f>
        <v>477</v>
      </c>
      <c r="I580" s="31">
        <f>I581+I583</f>
        <v>477</v>
      </c>
    </row>
    <row r="581" spans="1:9" x14ac:dyDescent="0.2">
      <c r="A581" s="35" t="s">
        <v>195</v>
      </c>
      <c r="B581" s="36" t="s">
        <v>508</v>
      </c>
      <c r="C581" s="36" t="s">
        <v>206</v>
      </c>
      <c r="D581" s="36" t="s">
        <v>206</v>
      </c>
      <c r="E581" s="36" t="s">
        <v>542</v>
      </c>
      <c r="F581" s="36" t="s">
        <v>196</v>
      </c>
      <c r="G581" s="37">
        <f>G582</f>
        <v>531.18100000000004</v>
      </c>
      <c r="H581" s="37">
        <f t="shared" ref="H581:I581" si="165">H582</f>
        <v>474</v>
      </c>
      <c r="I581" s="37">
        <f t="shared" si="165"/>
        <v>474</v>
      </c>
    </row>
    <row r="582" spans="1:9" x14ac:dyDescent="0.2">
      <c r="A582" s="35" t="s">
        <v>197</v>
      </c>
      <c r="B582" s="36" t="s">
        <v>508</v>
      </c>
      <c r="C582" s="36" t="s">
        <v>206</v>
      </c>
      <c r="D582" s="36" t="s">
        <v>206</v>
      </c>
      <c r="E582" s="36" t="s">
        <v>542</v>
      </c>
      <c r="F582" s="36" t="s">
        <v>198</v>
      </c>
      <c r="G582" s="37">
        <f>474+57.181</f>
        <v>531.18100000000004</v>
      </c>
      <c r="H582" s="37">
        <v>474</v>
      </c>
      <c r="I582" s="37">
        <v>474</v>
      </c>
    </row>
    <row r="583" spans="1:9" x14ac:dyDescent="0.2">
      <c r="A583" s="35" t="s">
        <v>199</v>
      </c>
      <c r="B583" s="36" t="s">
        <v>508</v>
      </c>
      <c r="C583" s="36" t="s">
        <v>206</v>
      </c>
      <c r="D583" s="36" t="s">
        <v>206</v>
      </c>
      <c r="E583" s="36" t="s">
        <v>542</v>
      </c>
      <c r="F583" s="36" t="s">
        <v>200</v>
      </c>
      <c r="G583" s="37">
        <f>G584</f>
        <v>3</v>
      </c>
      <c r="H583" s="37">
        <f t="shared" ref="H583:I583" si="166">H584</f>
        <v>3</v>
      </c>
      <c r="I583" s="37">
        <f t="shared" si="166"/>
        <v>3</v>
      </c>
    </row>
    <row r="584" spans="1:9" x14ac:dyDescent="0.2">
      <c r="A584" s="35" t="s">
        <v>201</v>
      </c>
      <c r="B584" s="36" t="s">
        <v>508</v>
      </c>
      <c r="C584" s="36" t="s">
        <v>206</v>
      </c>
      <c r="D584" s="36" t="s">
        <v>206</v>
      </c>
      <c r="E584" s="36" t="s">
        <v>542</v>
      </c>
      <c r="F584" s="36" t="s">
        <v>202</v>
      </c>
      <c r="G584" s="37">
        <v>3</v>
      </c>
      <c r="H584" s="37">
        <v>3</v>
      </c>
      <c r="I584" s="37">
        <v>3</v>
      </c>
    </row>
    <row r="585" spans="1:9" x14ac:dyDescent="0.2">
      <c r="A585" s="129" t="s">
        <v>178</v>
      </c>
      <c r="B585" s="83" t="s">
        <v>508</v>
      </c>
      <c r="C585" s="83" t="s">
        <v>206</v>
      </c>
      <c r="D585" s="83" t="s">
        <v>206</v>
      </c>
      <c r="E585" s="83" t="s">
        <v>189</v>
      </c>
      <c r="F585" s="12"/>
      <c r="G585" s="115">
        <f t="shared" ref="G585:H588" si="167">G586</f>
        <v>467.88443000000001</v>
      </c>
      <c r="H585" s="247">
        <f t="shared" si="167"/>
        <v>0</v>
      </c>
      <c r="I585" s="37"/>
    </row>
    <row r="586" spans="1:9" x14ac:dyDescent="0.2">
      <c r="A586" s="75" t="s">
        <v>180</v>
      </c>
      <c r="B586" s="74" t="s">
        <v>508</v>
      </c>
      <c r="C586" s="74" t="s">
        <v>206</v>
      </c>
      <c r="D586" s="74" t="s">
        <v>206</v>
      </c>
      <c r="E586" s="74" t="s">
        <v>190</v>
      </c>
      <c r="F586" s="12"/>
      <c r="G586" s="115">
        <f t="shared" si="167"/>
        <v>467.88443000000001</v>
      </c>
      <c r="H586" s="248">
        <f t="shared" si="167"/>
        <v>0</v>
      </c>
      <c r="I586" s="37"/>
    </row>
    <row r="587" spans="1:9" x14ac:dyDescent="0.2">
      <c r="A587" s="75" t="s">
        <v>203</v>
      </c>
      <c r="B587" s="74" t="s">
        <v>508</v>
      </c>
      <c r="C587" s="74" t="s">
        <v>206</v>
      </c>
      <c r="D587" s="74" t="s">
        <v>206</v>
      </c>
      <c r="E587" s="74" t="s">
        <v>204</v>
      </c>
      <c r="F587" s="74"/>
      <c r="G587" s="127">
        <f t="shared" si="167"/>
        <v>467.88443000000001</v>
      </c>
      <c r="H587" s="248">
        <f t="shared" si="167"/>
        <v>0</v>
      </c>
      <c r="I587" s="37"/>
    </row>
    <row r="588" spans="1:9" ht="24" x14ac:dyDescent="0.2">
      <c r="A588" s="73" t="s">
        <v>185</v>
      </c>
      <c r="B588" s="12" t="s">
        <v>508</v>
      </c>
      <c r="C588" s="12" t="s">
        <v>206</v>
      </c>
      <c r="D588" s="12" t="s">
        <v>206</v>
      </c>
      <c r="E588" s="12" t="s">
        <v>204</v>
      </c>
      <c r="F588" s="12" t="s">
        <v>186</v>
      </c>
      <c r="G588" s="115">
        <f t="shared" si="167"/>
        <v>467.88443000000001</v>
      </c>
      <c r="H588" s="249">
        <f t="shared" si="167"/>
        <v>0</v>
      </c>
      <c r="I588" s="37"/>
    </row>
    <row r="589" spans="1:9" x14ac:dyDescent="0.2">
      <c r="A589" s="73" t="s">
        <v>187</v>
      </c>
      <c r="B589" s="12" t="s">
        <v>508</v>
      </c>
      <c r="C589" s="12" t="s">
        <v>206</v>
      </c>
      <c r="D589" s="12" t="s">
        <v>206</v>
      </c>
      <c r="E589" s="12" t="s">
        <v>204</v>
      </c>
      <c r="F589" s="12" t="s">
        <v>188</v>
      </c>
      <c r="G589" s="115">
        <v>467.88443000000001</v>
      </c>
      <c r="H589" s="249">
        <v>0</v>
      </c>
      <c r="I589" s="37"/>
    </row>
    <row r="590" spans="1:9" x14ac:dyDescent="0.2">
      <c r="A590" s="29" t="s">
        <v>543</v>
      </c>
      <c r="B590" s="30" t="s">
        <v>508</v>
      </c>
      <c r="C590" s="30" t="s">
        <v>404</v>
      </c>
      <c r="D590" s="30" t="s">
        <v>174</v>
      </c>
      <c r="E590" s="30"/>
      <c r="F590" s="30"/>
      <c r="G590" s="31">
        <f>G591</f>
        <v>680.33900000000006</v>
      </c>
      <c r="H590" s="31">
        <f t="shared" ref="H590:I591" si="168">H591</f>
        <v>1771.5730000000001</v>
      </c>
      <c r="I590" s="31">
        <f t="shared" si="168"/>
        <v>3</v>
      </c>
    </row>
    <row r="591" spans="1:9" x14ac:dyDescent="0.2">
      <c r="A591" s="29" t="s">
        <v>488</v>
      </c>
      <c r="B591" s="30" t="s">
        <v>508</v>
      </c>
      <c r="C591" s="30" t="s">
        <v>404</v>
      </c>
      <c r="D591" s="30" t="s">
        <v>177</v>
      </c>
      <c r="E591" s="30"/>
      <c r="F591" s="30"/>
      <c r="G591" s="31">
        <f>G592</f>
        <v>680.33900000000006</v>
      </c>
      <c r="H591" s="31">
        <f t="shared" si="168"/>
        <v>1771.5730000000001</v>
      </c>
      <c r="I591" s="31">
        <f t="shared" si="168"/>
        <v>3</v>
      </c>
    </row>
    <row r="592" spans="1:9" ht="13.5" x14ac:dyDescent="0.2">
      <c r="A592" s="38" t="s">
        <v>516</v>
      </c>
      <c r="B592" s="32" t="s">
        <v>508</v>
      </c>
      <c r="C592" s="32" t="s">
        <v>404</v>
      </c>
      <c r="D592" s="32" t="s">
        <v>177</v>
      </c>
      <c r="E592" s="181" t="s">
        <v>511</v>
      </c>
      <c r="F592" s="32"/>
      <c r="G592" s="33">
        <f>G593+G596</f>
        <v>680.33900000000006</v>
      </c>
      <c r="H592" s="33">
        <f>H593+H596</f>
        <v>1771.5730000000001</v>
      </c>
      <c r="I592" s="33">
        <f>I593+I596</f>
        <v>3</v>
      </c>
    </row>
    <row r="593" spans="1:9" x14ac:dyDescent="0.2">
      <c r="A593" s="29" t="s">
        <v>544</v>
      </c>
      <c r="B593" s="30" t="s">
        <v>508</v>
      </c>
      <c r="C593" s="30" t="s">
        <v>404</v>
      </c>
      <c r="D593" s="30" t="s">
        <v>177</v>
      </c>
      <c r="E593" s="30" t="s">
        <v>545</v>
      </c>
      <c r="F593" s="30"/>
      <c r="G593" s="45">
        <f>G594</f>
        <v>677.33900000000006</v>
      </c>
      <c r="H593" s="45">
        <f t="shared" ref="H593:I594" si="169">H594</f>
        <v>1768.5730000000001</v>
      </c>
      <c r="I593" s="45">
        <f t="shared" si="169"/>
        <v>0</v>
      </c>
    </row>
    <row r="594" spans="1:9" x14ac:dyDescent="0.2">
      <c r="A594" s="35" t="s">
        <v>195</v>
      </c>
      <c r="B594" s="36" t="s">
        <v>508</v>
      </c>
      <c r="C594" s="36" t="s">
        <v>404</v>
      </c>
      <c r="D594" s="36" t="s">
        <v>177</v>
      </c>
      <c r="E594" s="36" t="s">
        <v>545</v>
      </c>
      <c r="F594" s="36" t="s">
        <v>196</v>
      </c>
      <c r="G594" s="46">
        <f>G595</f>
        <v>677.33900000000006</v>
      </c>
      <c r="H594" s="46">
        <f t="shared" si="169"/>
        <v>1768.5730000000001</v>
      </c>
      <c r="I594" s="46">
        <f t="shared" si="169"/>
        <v>0</v>
      </c>
    </row>
    <row r="595" spans="1:9" x14ac:dyDescent="0.2">
      <c r="A595" s="35" t="s">
        <v>197</v>
      </c>
      <c r="B595" s="36" t="s">
        <v>508</v>
      </c>
      <c r="C595" s="36" t="s">
        <v>404</v>
      </c>
      <c r="D595" s="36" t="s">
        <v>177</v>
      </c>
      <c r="E595" s="36" t="s">
        <v>545</v>
      </c>
      <c r="F595" s="36" t="s">
        <v>198</v>
      </c>
      <c r="G595" s="46">
        <v>677.33900000000006</v>
      </c>
      <c r="H595" s="46">
        <v>1768.5730000000001</v>
      </c>
      <c r="I595" s="46">
        <v>0</v>
      </c>
    </row>
    <row r="596" spans="1:9" x14ac:dyDescent="0.2">
      <c r="A596" s="29" t="s">
        <v>546</v>
      </c>
      <c r="B596" s="30" t="s">
        <v>508</v>
      </c>
      <c r="C596" s="30" t="s">
        <v>404</v>
      </c>
      <c r="D596" s="30" t="s">
        <v>177</v>
      </c>
      <c r="E596" s="30" t="s">
        <v>547</v>
      </c>
      <c r="F596" s="30"/>
      <c r="G596" s="31">
        <f>G597</f>
        <v>3</v>
      </c>
      <c r="H596" s="31">
        <f t="shared" ref="H596:I597" si="170">H597</f>
        <v>3</v>
      </c>
      <c r="I596" s="31">
        <f t="shared" si="170"/>
        <v>3</v>
      </c>
    </row>
    <row r="597" spans="1:9" x14ac:dyDescent="0.2">
      <c r="A597" s="35" t="s">
        <v>195</v>
      </c>
      <c r="B597" s="36" t="s">
        <v>508</v>
      </c>
      <c r="C597" s="36" t="s">
        <v>404</v>
      </c>
      <c r="D597" s="36" t="s">
        <v>177</v>
      </c>
      <c r="E597" s="36" t="s">
        <v>547</v>
      </c>
      <c r="F597" s="36" t="s">
        <v>196</v>
      </c>
      <c r="G597" s="37">
        <f>G598</f>
        <v>3</v>
      </c>
      <c r="H597" s="37">
        <f t="shared" si="170"/>
        <v>3</v>
      </c>
      <c r="I597" s="37">
        <f t="shared" si="170"/>
        <v>3</v>
      </c>
    </row>
    <row r="598" spans="1:9" x14ac:dyDescent="0.2">
      <c r="A598" s="35" t="s">
        <v>197</v>
      </c>
      <c r="B598" s="36" t="s">
        <v>508</v>
      </c>
      <c r="C598" s="36" t="s">
        <v>404</v>
      </c>
      <c r="D598" s="36" t="s">
        <v>177</v>
      </c>
      <c r="E598" s="36" t="s">
        <v>547</v>
      </c>
      <c r="F598" s="36" t="s">
        <v>198</v>
      </c>
      <c r="G598" s="37">
        <v>3</v>
      </c>
      <c r="H598" s="37">
        <v>3</v>
      </c>
      <c r="I598" s="37">
        <v>3</v>
      </c>
    </row>
    <row r="599" spans="1:9" ht="31.5" x14ac:dyDescent="0.2">
      <c r="A599" s="200" t="s">
        <v>548</v>
      </c>
      <c r="B599" s="207" t="s">
        <v>549</v>
      </c>
      <c r="C599" s="205"/>
      <c r="D599" s="205"/>
      <c r="E599" s="205"/>
      <c r="F599" s="205"/>
      <c r="G599" s="201">
        <f>G600+G622+G663+G677</f>
        <v>146690.44675</v>
      </c>
      <c r="H599" s="201">
        <f>H600+H622+H663+H677</f>
        <v>218784.2</v>
      </c>
      <c r="I599" s="201">
        <f>I600+I622+I663+I677</f>
        <v>278324.2</v>
      </c>
    </row>
    <row r="600" spans="1:9" x14ac:dyDescent="0.2">
      <c r="A600" s="29" t="s">
        <v>290</v>
      </c>
      <c r="B600" s="30" t="s">
        <v>549</v>
      </c>
      <c r="C600" s="30" t="s">
        <v>177</v>
      </c>
      <c r="D600" s="30" t="s">
        <v>174</v>
      </c>
      <c r="E600" s="30"/>
      <c r="F600" s="30"/>
      <c r="G600" s="31">
        <f>G601+G611</f>
        <v>33720</v>
      </c>
      <c r="H600" s="31">
        <f>H601+H611</f>
        <v>17000</v>
      </c>
      <c r="I600" s="31">
        <f>I601+I611</f>
        <v>28575</v>
      </c>
    </row>
    <row r="601" spans="1:9" ht="13.5" x14ac:dyDescent="0.2">
      <c r="A601" s="29" t="s">
        <v>550</v>
      </c>
      <c r="B601" s="30" t="s">
        <v>549</v>
      </c>
      <c r="C601" s="30" t="s">
        <v>177</v>
      </c>
      <c r="D601" s="30" t="s">
        <v>206</v>
      </c>
      <c r="E601" s="32"/>
      <c r="F601" s="30"/>
      <c r="G601" s="31">
        <f>G602</f>
        <v>14200</v>
      </c>
      <c r="H601" s="45">
        <f t="shared" ref="H601:I601" si="171">H602</f>
        <v>0</v>
      </c>
      <c r="I601" s="45">
        <f t="shared" si="171"/>
        <v>0</v>
      </c>
    </row>
    <row r="602" spans="1:9" x14ac:dyDescent="0.2">
      <c r="A602" s="39" t="s">
        <v>551</v>
      </c>
      <c r="B602" s="40" t="s">
        <v>549</v>
      </c>
      <c r="C602" s="40" t="s">
        <v>177</v>
      </c>
      <c r="D602" s="40" t="s">
        <v>206</v>
      </c>
      <c r="E602" s="40" t="s">
        <v>552</v>
      </c>
      <c r="F602" s="40"/>
      <c r="G602" s="41">
        <f>G603+G606</f>
        <v>14200</v>
      </c>
      <c r="H602" s="47">
        <f>H603</f>
        <v>0</v>
      </c>
      <c r="I602" s="47">
        <f>I603</f>
        <v>0</v>
      </c>
    </row>
    <row r="603" spans="1:9" x14ac:dyDescent="0.2">
      <c r="A603" s="29" t="s">
        <v>553</v>
      </c>
      <c r="B603" s="30" t="s">
        <v>549</v>
      </c>
      <c r="C603" s="30" t="s">
        <v>177</v>
      </c>
      <c r="D603" s="30" t="s">
        <v>206</v>
      </c>
      <c r="E603" s="30" t="s">
        <v>554</v>
      </c>
      <c r="F603" s="30"/>
      <c r="G603" s="31">
        <f>G604</f>
        <v>14000</v>
      </c>
      <c r="H603" s="45">
        <f t="shared" ref="H603:I604" si="172">H604</f>
        <v>0</v>
      </c>
      <c r="I603" s="45">
        <f t="shared" si="172"/>
        <v>0</v>
      </c>
    </row>
    <row r="604" spans="1:9" x14ac:dyDescent="0.2">
      <c r="A604" s="35" t="s">
        <v>344</v>
      </c>
      <c r="B604" s="36" t="s">
        <v>549</v>
      </c>
      <c r="C604" s="36" t="s">
        <v>177</v>
      </c>
      <c r="D604" s="36" t="s">
        <v>206</v>
      </c>
      <c r="E604" s="36" t="s">
        <v>554</v>
      </c>
      <c r="F604" s="36" t="s">
        <v>345</v>
      </c>
      <c r="G604" s="37">
        <f>G605</f>
        <v>14000</v>
      </c>
      <c r="H604" s="46">
        <f t="shared" si="172"/>
        <v>0</v>
      </c>
      <c r="I604" s="46">
        <f t="shared" si="172"/>
        <v>0</v>
      </c>
    </row>
    <row r="605" spans="1:9" x14ac:dyDescent="0.2">
      <c r="A605" s="35" t="s">
        <v>346</v>
      </c>
      <c r="B605" s="36" t="s">
        <v>549</v>
      </c>
      <c r="C605" s="36" t="s">
        <v>177</v>
      </c>
      <c r="D605" s="36" t="s">
        <v>206</v>
      </c>
      <c r="E605" s="36" t="s">
        <v>554</v>
      </c>
      <c r="F605" s="36" t="s">
        <v>347</v>
      </c>
      <c r="G605" s="37">
        <f>14500-500</f>
        <v>14000</v>
      </c>
      <c r="H605" s="46">
        <v>0</v>
      </c>
      <c r="I605" s="46">
        <v>0</v>
      </c>
    </row>
    <row r="606" spans="1:9" x14ac:dyDescent="0.2">
      <c r="A606" s="50" t="s">
        <v>555</v>
      </c>
      <c r="B606" s="30" t="s">
        <v>549</v>
      </c>
      <c r="C606" s="30" t="s">
        <v>177</v>
      </c>
      <c r="D606" s="30" t="s">
        <v>206</v>
      </c>
      <c r="E606" s="30" t="s">
        <v>556</v>
      </c>
      <c r="F606" s="30"/>
      <c r="G606" s="31">
        <f>G609+G607</f>
        <v>200</v>
      </c>
      <c r="H606" s="31">
        <f>H609+H607</f>
        <v>0</v>
      </c>
      <c r="I606" s="31">
        <f>I609+I607</f>
        <v>0</v>
      </c>
    </row>
    <row r="607" spans="1:9" x14ac:dyDescent="0.2">
      <c r="A607" s="35" t="s">
        <v>195</v>
      </c>
      <c r="B607" s="36" t="s">
        <v>549</v>
      </c>
      <c r="C607" s="36" t="s">
        <v>177</v>
      </c>
      <c r="D607" s="36" t="s">
        <v>206</v>
      </c>
      <c r="E607" s="36" t="s">
        <v>556</v>
      </c>
      <c r="F607" s="36" t="s">
        <v>196</v>
      </c>
      <c r="G607" s="37">
        <f>G608</f>
        <v>105</v>
      </c>
      <c r="H607" s="46">
        <f>H608</f>
        <v>0</v>
      </c>
      <c r="I607" s="46">
        <f>I608</f>
        <v>0</v>
      </c>
    </row>
    <row r="608" spans="1:9" x14ac:dyDescent="0.2">
      <c r="A608" s="35" t="s">
        <v>197</v>
      </c>
      <c r="B608" s="36" t="s">
        <v>549</v>
      </c>
      <c r="C608" s="36" t="s">
        <v>177</v>
      </c>
      <c r="D608" s="36" t="s">
        <v>206</v>
      </c>
      <c r="E608" s="36" t="s">
        <v>556</v>
      </c>
      <c r="F608" s="36" t="s">
        <v>198</v>
      </c>
      <c r="G608" s="37">
        <f>35+70</f>
        <v>105</v>
      </c>
      <c r="H608" s="46">
        <v>0</v>
      </c>
      <c r="I608" s="46">
        <v>0</v>
      </c>
    </row>
    <row r="609" spans="1:9" x14ac:dyDescent="0.2">
      <c r="A609" s="35" t="s">
        <v>344</v>
      </c>
      <c r="B609" s="36" t="s">
        <v>549</v>
      </c>
      <c r="C609" s="36" t="s">
        <v>177</v>
      </c>
      <c r="D609" s="36" t="s">
        <v>206</v>
      </c>
      <c r="E609" s="36" t="s">
        <v>556</v>
      </c>
      <c r="F609" s="36" t="s">
        <v>345</v>
      </c>
      <c r="G609" s="37">
        <f>G610</f>
        <v>95</v>
      </c>
      <c r="H609" s="46">
        <f>H610</f>
        <v>0</v>
      </c>
      <c r="I609" s="46">
        <f>I610</f>
        <v>0</v>
      </c>
    </row>
    <row r="610" spans="1:9" x14ac:dyDescent="0.2">
      <c r="A610" s="35" t="s">
        <v>346</v>
      </c>
      <c r="B610" s="36" t="s">
        <v>549</v>
      </c>
      <c r="C610" s="36" t="s">
        <v>177</v>
      </c>
      <c r="D610" s="36" t="s">
        <v>206</v>
      </c>
      <c r="E610" s="36" t="s">
        <v>556</v>
      </c>
      <c r="F610" s="36" t="s">
        <v>347</v>
      </c>
      <c r="G610" s="37">
        <f>200-35-70</f>
        <v>95</v>
      </c>
      <c r="H610" s="46">
        <v>0</v>
      </c>
      <c r="I610" s="46">
        <v>0</v>
      </c>
    </row>
    <row r="611" spans="1:9" x14ac:dyDescent="0.2">
      <c r="A611" s="29" t="s">
        <v>291</v>
      </c>
      <c r="B611" s="30" t="s">
        <v>549</v>
      </c>
      <c r="C611" s="30" t="s">
        <v>177</v>
      </c>
      <c r="D611" s="30" t="s">
        <v>292</v>
      </c>
      <c r="E611" s="49"/>
      <c r="F611" s="30"/>
      <c r="G611" s="31">
        <f>G612</f>
        <v>19520</v>
      </c>
      <c r="H611" s="31">
        <f t="shared" ref="H611:I611" si="173">H612</f>
        <v>17000</v>
      </c>
      <c r="I611" s="31">
        <f t="shared" si="173"/>
        <v>28575</v>
      </c>
    </row>
    <row r="612" spans="1:9" x14ac:dyDescent="0.2">
      <c r="A612" s="39" t="s">
        <v>551</v>
      </c>
      <c r="B612" s="40" t="s">
        <v>549</v>
      </c>
      <c r="C612" s="40" t="s">
        <v>177</v>
      </c>
      <c r="D612" s="40" t="s">
        <v>292</v>
      </c>
      <c r="E612" s="40" t="s">
        <v>552</v>
      </c>
      <c r="F612" s="40"/>
      <c r="G612" s="41">
        <f>G613+G616+G619</f>
        <v>19520</v>
      </c>
      <c r="H612" s="41">
        <f>H613+H616+H619</f>
        <v>17000</v>
      </c>
      <c r="I612" s="41">
        <f>I613+I616+I619</f>
        <v>28575</v>
      </c>
    </row>
    <row r="613" spans="1:9" x14ac:dyDescent="0.2">
      <c r="A613" s="29" t="s">
        <v>557</v>
      </c>
      <c r="B613" s="30" t="s">
        <v>549</v>
      </c>
      <c r="C613" s="30" t="s">
        <v>177</v>
      </c>
      <c r="D613" s="30" t="s">
        <v>292</v>
      </c>
      <c r="E613" s="30" t="s">
        <v>558</v>
      </c>
      <c r="F613" s="30"/>
      <c r="G613" s="31">
        <f>G614</f>
        <v>19020</v>
      </c>
      <c r="H613" s="31">
        <f t="shared" ref="H613:I614" si="174">H614</f>
        <v>10000</v>
      </c>
      <c r="I613" s="31">
        <f t="shared" si="174"/>
        <v>15000</v>
      </c>
    </row>
    <row r="614" spans="1:9" x14ac:dyDescent="0.2">
      <c r="A614" s="35" t="s">
        <v>195</v>
      </c>
      <c r="B614" s="36" t="s">
        <v>549</v>
      </c>
      <c r="C614" s="36" t="s">
        <v>177</v>
      </c>
      <c r="D614" s="36" t="s">
        <v>292</v>
      </c>
      <c r="E614" s="36" t="s">
        <v>558</v>
      </c>
      <c r="F614" s="36" t="s">
        <v>196</v>
      </c>
      <c r="G614" s="37">
        <f>G615</f>
        <v>19020</v>
      </c>
      <c r="H614" s="37">
        <f t="shared" si="174"/>
        <v>10000</v>
      </c>
      <c r="I614" s="37">
        <f t="shared" si="174"/>
        <v>15000</v>
      </c>
    </row>
    <row r="615" spans="1:9" x14ac:dyDescent="0.2">
      <c r="A615" s="35" t="s">
        <v>197</v>
      </c>
      <c r="B615" s="36" t="s">
        <v>549</v>
      </c>
      <c r="C615" s="36" t="s">
        <v>177</v>
      </c>
      <c r="D615" s="36" t="s">
        <v>292</v>
      </c>
      <c r="E615" s="36" t="s">
        <v>558</v>
      </c>
      <c r="F615" s="36" t="s">
        <v>198</v>
      </c>
      <c r="G615" s="37">
        <f>15000+4020</f>
        <v>19020</v>
      </c>
      <c r="H615" s="37">
        <v>10000</v>
      </c>
      <c r="I615" s="37">
        <v>15000</v>
      </c>
    </row>
    <row r="616" spans="1:9" x14ac:dyDescent="0.2">
      <c r="A616" s="29" t="s">
        <v>559</v>
      </c>
      <c r="B616" s="30" t="s">
        <v>549</v>
      </c>
      <c r="C616" s="30" t="s">
        <v>177</v>
      </c>
      <c r="D616" s="30" t="s">
        <v>292</v>
      </c>
      <c r="E616" s="30" t="s">
        <v>560</v>
      </c>
      <c r="F616" s="30"/>
      <c r="G616" s="45">
        <f>G617</f>
        <v>0</v>
      </c>
      <c r="H616" s="31">
        <f t="shared" ref="H616:I617" si="175">H617</f>
        <v>6500</v>
      </c>
      <c r="I616" s="31">
        <f t="shared" si="175"/>
        <v>13075</v>
      </c>
    </row>
    <row r="617" spans="1:9" x14ac:dyDescent="0.2">
      <c r="A617" s="35" t="s">
        <v>195</v>
      </c>
      <c r="B617" s="36" t="s">
        <v>549</v>
      </c>
      <c r="C617" s="36" t="s">
        <v>177</v>
      </c>
      <c r="D617" s="36" t="s">
        <v>292</v>
      </c>
      <c r="E617" s="36" t="s">
        <v>560</v>
      </c>
      <c r="F617" s="36" t="s">
        <v>196</v>
      </c>
      <c r="G617" s="46">
        <f>G618</f>
        <v>0</v>
      </c>
      <c r="H617" s="37">
        <f t="shared" si="175"/>
        <v>6500</v>
      </c>
      <c r="I617" s="37">
        <f t="shared" si="175"/>
        <v>13075</v>
      </c>
    </row>
    <row r="618" spans="1:9" x14ac:dyDescent="0.2">
      <c r="A618" s="35" t="s">
        <v>197</v>
      </c>
      <c r="B618" s="36" t="s">
        <v>549</v>
      </c>
      <c r="C618" s="36" t="s">
        <v>177</v>
      </c>
      <c r="D618" s="36" t="s">
        <v>292</v>
      </c>
      <c r="E618" s="36" t="s">
        <v>560</v>
      </c>
      <c r="F618" s="36" t="s">
        <v>198</v>
      </c>
      <c r="G618" s="46">
        <v>0</v>
      </c>
      <c r="H618" s="37">
        <f>11500-5000</f>
        <v>6500</v>
      </c>
      <c r="I618" s="37">
        <v>13075</v>
      </c>
    </row>
    <row r="619" spans="1:9" x14ac:dyDescent="0.2">
      <c r="A619" s="50" t="s">
        <v>555</v>
      </c>
      <c r="B619" s="30" t="s">
        <v>549</v>
      </c>
      <c r="C619" s="30" t="s">
        <v>177</v>
      </c>
      <c r="D619" s="30" t="s">
        <v>292</v>
      </c>
      <c r="E619" s="30" t="s">
        <v>556</v>
      </c>
      <c r="F619" s="30"/>
      <c r="G619" s="31">
        <f>G620</f>
        <v>500</v>
      </c>
      <c r="H619" s="31">
        <f t="shared" ref="H619:I620" si="176">H620</f>
        <v>500</v>
      </c>
      <c r="I619" s="31">
        <f t="shared" si="176"/>
        <v>500</v>
      </c>
    </row>
    <row r="620" spans="1:9" x14ac:dyDescent="0.2">
      <c r="A620" s="35" t="s">
        <v>195</v>
      </c>
      <c r="B620" s="36" t="s">
        <v>549</v>
      </c>
      <c r="C620" s="36" t="s">
        <v>177</v>
      </c>
      <c r="D620" s="36" t="s">
        <v>292</v>
      </c>
      <c r="E620" s="36" t="s">
        <v>556</v>
      </c>
      <c r="F620" s="36" t="s">
        <v>196</v>
      </c>
      <c r="G620" s="37">
        <f>G621</f>
        <v>500</v>
      </c>
      <c r="H620" s="37">
        <f t="shared" si="176"/>
        <v>500</v>
      </c>
      <c r="I620" s="37">
        <f t="shared" si="176"/>
        <v>500</v>
      </c>
    </row>
    <row r="621" spans="1:9" x14ac:dyDescent="0.2">
      <c r="A621" s="35" t="s">
        <v>197</v>
      </c>
      <c r="B621" s="36" t="s">
        <v>549</v>
      </c>
      <c r="C621" s="36" t="s">
        <v>177</v>
      </c>
      <c r="D621" s="36" t="s">
        <v>292</v>
      </c>
      <c r="E621" s="36" t="s">
        <v>556</v>
      </c>
      <c r="F621" s="36" t="s">
        <v>198</v>
      </c>
      <c r="G621" s="37">
        <v>500</v>
      </c>
      <c r="H621" s="37">
        <v>500</v>
      </c>
      <c r="I621" s="37">
        <v>500</v>
      </c>
    </row>
    <row r="622" spans="1:9" x14ac:dyDescent="0.2">
      <c r="A622" s="29" t="s">
        <v>367</v>
      </c>
      <c r="B622" s="30" t="s">
        <v>549</v>
      </c>
      <c r="C622" s="30" t="s">
        <v>206</v>
      </c>
      <c r="D622" s="30" t="s">
        <v>174</v>
      </c>
      <c r="E622" s="30"/>
      <c r="F622" s="30"/>
      <c r="G622" s="31">
        <f>G623+G631+G641+G649</f>
        <v>29520.446750000003</v>
      </c>
      <c r="H622" s="31">
        <f>H623+H631+H641+H649</f>
        <v>91034.2</v>
      </c>
      <c r="I622" s="31">
        <f>I623+I631+I641+I649</f>
        <v>112459.2</v>
      </c>
    </row>
    <row r="623" spans="1:9" x14ac:dyDescent="0.2">
      <c r="A623" s="29" t="s">
        <v>561</v>
      </c>
      <c r="B623" s="30" t="s">
        <v>549</v>
      </c>
      <c r="C623" s="30" t="s">
        <v>206</v>
      </c>
      <c r="D623" s="30" t="s">
        <v>173</v>
      </c>
      <c r="E623" s="30"/>
      <c r="F623" s="30"/>
      <c r="G623" s="31">
        <f>G624</f>
        <v>1800</v>
      </c>
      <c r="H623" s="31">
        <f t="shared" ref="H623:I623" si="177">H624</f>
        <v>6000</v>
      </c>
      <c r="I623" s="31">
        <f t="shared" si="177"/>
        <v>6500</v>
      </c>
    </row>
    <row r="624" spans="1:9" x14ac:dyDescent="0.2">
      <c r="A624" s="39" t="s">
        <v>551</v>
      </c>
      <c r="B624" s="40" t="s">
        <v>549</v>
      </c>
      <c r="C624" s="40" t="s">
        <v>206</v>
      </c>
      <c r="D624" s="40" t="s">
        <v>173</v>
      </c>
      <c r="E624" s="40" t="s">
        <v>552</v>
      </c>
      <c r="F624" s="40"/>
      <c r="G624" s="41">
        <f>G625+G628</f>
        <v>1800</v>
      </c>
      <c r="H624" s="41">
        <f>H625+H628</f>
        <v>6000</v>
      </c>
      <c r="I624" s="41">
        <f>I625+I628</f>
        <v>6500</v>
      </c>
    </row>
    <row r="625" spans="1:9" ht="24" x14ac:dyDescent="0.2">
      <c r="A625" s="29" t="s">
        <v>562</v>
      </c>
      <c r="B625" s="30" t="s">
        <v>549</v>
      </c>
      <c r="C625" s="30" t="s">
        <v>206</v>
      </c>
      <c r="D625" s="30" t="s">
        <v>173</v>
      </c>
      <c r="E625" s="30" t="s">
        <v>563</v>
      </c>
      <c r="F625" s="30"/>
      <c r="G625" s="31">
        <f>G626</f>
        <v>1500</v>
      </c>
      <c r="H625" s="31">
        <f t="shared" ref="H625:I626" si="178">H626</f>
        <v>5500</v>
      </c>
      <c r="I625" s="31">
        <f t="shared" si="178"/>
        <v>6000</v>
      </c>
    </row>
    <row r="626" spans="1:9" x14ac:dyDescent="0.2">
      <c r="A626" s="35" t="s">
        <v>195</v>
      </c>
      <c r="B626" s="36" t="s">
        <v>549</v>
      </c>
      <c r="C626" s="36" t="s">
        <v>206</v>
      </c>
      <c r="D626" s="36" t="s">
        <v>173</v>
      </c>
      <c r="E626" s="36" t="s">
        <v>563</v>
      </c>
      <c r="F626" s="36" t="s">
        <v>196</v>
      </c>
      <c r="G626" s="37">
        <f>G627</f>
        <v>1500</v>
      </c>
      <c r="H626" s="37">
        <f t="shared" si="178"/>
        <v>5500</v>
      </c>
      <c r="I626" s="37">
        <f t="shared" si="178"/>
        <v>6000</v>
      </c>
    </row>
    <row r="627" spans="1:9" x14ac:dyDescent="0.2">
      <c r="A627" s="35" t="s">
        <v>197</v>
      </c>
      <c r="B627" s="36" t="s">
        <v>549</v>
      </c>
      <c r="C627" s="36" t="s">
        <v>206</v>
      </c>
      <c r="D627" s="36" t="s">
        <v>173</v>
      </c>
      <c r="E627" s="36" t="s">
        <v>563</v>
      </c>
      <c r="F627" s="36" t="s">
        <v>198</v>
      </c>
      <c r="G627" s="37">
        <f>1000+500</f>
        <v>1500</v>
      </c>
      <c r="H627" s="37">
        <v>5500</v>
      </c>
      <c r="I627" s="37">
        <v>6000</v>
      </c>
    </row>
    <row r="628" spans="1:9" x14ac:dyDescent="0.2">
      <c r="A628" s="50" t="s">
        <v>555</v>
      </c>
      <c r="B628" s="30" t="s">
        <v>549</v>
      </c>
      <c r="C628" s="30" t="s">
        <v>206</v>
      </c>
      <c r="D628" s="30" t="s">
        <v>173</v>
      </c>
      <c r="E628" s="30" t="s">
        <v>556</v>
      </c>
      <c r="F628" s="30"/>
      <c r="G628" s="31">
        <f>G629</f>
        <v>300</v>
      </c>
      <c r="H628" s="31">
        <f t="shared" ref="H628:I629" si="179">H629</f>
        <v>500</v>
      </c>
      <c r="I628" s="31">
        <f t="shared" si="179"/>
        <v>500</v>
      </c>
    </row>
    <row r="629" spans="1:9" x14ac:dyDescent="0.2">
      <c r="A629" s="35" t="s">
        <v>195</v>
      </c>
      <c r="B629" s="36" t="s">
        <v>549</v>
      </c>
      <c r="C629" s="36" t="s">
        <v>206</v>
      </c>
      <c r="D629" s="36" t="s">
        <v>173</v>
      </c>
      <c r="E629" s="36" t="s">
        <v>556</v>
      </c>
      <c r="F629" s="36" t="s">
        <v>196</v>
      </c>
      <c r="G629" s="37">
        <f>G630</f>
        <v>300</v>
      </c>
      <c r="H629" s="37">
        <f t="shared" si="179"/>
        <v>500</v>
      </c>
      <c r="I629" s="37">
        <f t="shared" si="179"/>
        <v>500</v>
      </c>
    </row>
    <row r="630" spans="1:9" x14ac:dyDescent="0.2">
      <c r="A630" s="35" t="s">
        <v>197</v>
      </c>
      <c r="B630" s="36" t="s">
        <v>549</v>
      </c>
      <c r="C630" s="36" t="s">
        <v>206</v>
      </c>
      <c r="D630" s="36" t="s">
        <v>173</v>
      </c>
      <c r="E630" s="36" t="s">
        <v>556</v>
      </c>
      <c r="F630" s="36" t="s">
        <v>198</v>
      </c>
      <c r="G630" s="37">
        <v>300</v>
      </c>
      <c r="H630" s="46">
        <v>500</v>
      </c>
      <c r="I630" s="37">
        <v>500</v>
      </c>
    </row>
    <row r="631" spans="1:9" x14ac:dyDescent="0.2">
      <c r="A631" s="29" t="s">
        <v>564</v>
      </c>
      <c r="B631" s="30" t="s">
        <v>549</v>
      </c>
      <c r="C631" s="30" t="s">
        <v>206</v>
      </c>
      <c r="D631" s="30" t="s">
        <v>352</v>
      </c>
      <c r="E631" s="30"/>
      <c r="F631" s="30"/>
      <c r="G631" s="45">
        <f>G632</f>
        <v>150</v>
      </c>
      <c r="H631" s="31">
        <f t="shared" ref="H631:I631" si="180">H632</f>
        <v>49000</v>
      </c>
      <c r="I631" s="31">
        <f t="shared" si="180"/>
        <v>60000</v>
      </c>
    </row>
    <row r="632" spans="1:9" x14ac:dyDescent="0.2">
      <c r="A632" s="39" t="s">
        <v>551</v>
      </c>
      <c r="B632" s="40" t="s">
        <v>549</v>
      </c>
      <c r="C632" s="40" t="s">
        <v>206</v>
      </c>
      <c r="D632" s="40" t="s">
        <v>352</v>
      </c>
      <c r="E632" s="40" t="s">
        <v>552</v>
      </c>
      <c r="F632" s="40"/>
      <c r="G632" s="47">
        <f>G633+G636</f>
        <v>150</v>
      </c>
      <c r="H632" s="41">
        <f>H633+H636</f>
        <v>49000</v>
      </c>
      <c r="I632" s="41">
        <f>I633+I636</f>
        <v>60000</v>
      </c>
    </row>
    <row r="633" spans="1:9" x14ac:dyDescent="0.2">
      <c r="A633" s="29" t="s">
        <v>565</v>
      </c>
      <c r="B633" s="30" t="s">
        <v>549</v>
      </c>
      <c r="C633" s="30" t="s">
        <v>206</v>
      </c>
      <c r="D633" s="30" t="s">
        <v>352</v>
      </c>
      <c r="E633" s="30" t="s">
        <v>566</v>
      </c>
      <c r="F633" s="30"/>
      <c r="G633" s="45">
        <f>G634</f>
        <v>0</v>
      </c>
      <c r="H633" s="45">
        <f t="shared" ref="H633:I634" si="181">H634</f>
        <v>45000</v>
      </c>
      <c r="I633" s="45">
        <f t="shared" si="181"/>
        <v>55000</v>
      </c>
    </row>
    <row r="634" spans="1:9" x14ac:dyDescent="0.2">
      <c r="A634" s="35" t="s">
        <v>344</v>
      </c>
      <c r="B634" s="36" t="s">
        <v>549</v>
      </c>
      <c r="C634" s="36" t="s">
        <v>206</v>
      </c>
      <c r="D634" s="36" t="s">
        <v>352</v>
      </c>
      <c r="E634" s="36" t="s">
        <v>566</v>
      </c>
      <c r="F634" s="36" t="s">
        <v>345</v>
      </c>
      <c r="G634" s="46">
        <f>G635</f>
        <v>0</v>
      </c>
      <c r="H634" s="46">
        <f t="shared" si="181"/>
        <v>45000</v>
      </c>
      <c r="I634" s="46">
        <f t="shared" si="181"/>
        <v>55000</v>
      </c>
    </row>
    <row r="635" spans="1:9" x14ac:dyDescent="0.2">
      <c r="A635" s="35" t="s">
        <v>346</v>
      </c>
      <c r="B635" s="36" t="s">
        <v>549</v>
      </c>
      <c r="C635" s="36" t="s">
        <v>206</v>
      </c>
      <c r="D635" s="36" t="s">
        <v>352</v>
      </c>
      <c r="E635" s="36" t="s">
        <v>566</v>
      </c>
      <c r="F635" s="36" t="s">
        <v>347</v>
      </c>
      <c r="G635" s="46">
        <v>0</v>
      </c>
      <c r="H635" s="46">
        <f>50000-5000</f>
        <v>45000</v>
      </c>
      <c r="I635" s="46">
        <v>55000</v>
      </c>
    </row>
    <row r="636" spans="1:9" x14ac:dyDescent="0.2">
      <c r="A636" s="50" t="s">
        <v>555</v>
      </c>
      <c r="B636" s="30" t="s">
        <v>549</v>
      </c>
      <c r="C636" s="30" t="s">
        <v>206</v>
      </c>
      <c r="D636" s="30" t="s">
        <v>352</v>
      </c>
      <c r="E636" s="30" t="s">
        <v>556</v>
      </c>
      <c r="F636" s="30"/>
      <c r="G636" s="45">
        <f>G639+G637</f>
        <v>150</v>
      </c>
      <c r="H636" s="45">
        <f>H639+H637</f>
        <v>4000</v>
      </c>
      <c r="I636" s="45">
        <f>I639+I637</f>
        <v>5000</v>
      </c>
    </row>
    <row r="637" spans="1:9" x14ac:dyDescent="0.2">
      <c r="A637" s="35" t="s">
        <v>195</v>
      </c>
      <c r="B637" s="36" t="s">
        <v>549</v>
      </c>
      <c r="C637" s="36" t="s">
        <v>206</v>
      </c>
      <c r="D637" s="36" t="s">
        <v>352</v>
      </c>
      <c r="E637" s="36" t="s">
        <v>556</v>
      </c>
      <c r="F637" s="36" t="s">
        <v>196</v>
      </c>
      <c r="G637" s="37">
        <f>G638</f>
        <v>34</v>
      </c>
      <c r="H637" s="46">
        <f>H638</f>
        <v>0</v>
      </c>
      <c r="I637" s="46">
        <f>I638</f>
        <v>0</v>
      </c>
    </row>
    <row r="638" spans="1:9" x14ac:dyDescent="0.2">
      <c r="A638" s="35" t="s">
        <v>197</v>
      </c>
      <c r="B638" s="36" t="s">
        <v>549</v>
      </c>
      <c r="C638" s="36" t="s">
        <v>206</v>
      </c>
      <c r="D638" s="36" t="s">
        <v>352</v>
      </c>
      <c r="E638" s="36" t="s">
        <v>556</v>
      </c>
      <c r="F638" s="36" t="s">
        <v>198</v>
      </c>
      <c r="G638" s="37">
        <f>12+22</f>
        <v>34</v>
      </c>
      <c r="H638" s="46">
        <v>0</v>
      </c>
      <c r="I638" s="46">
        <v>0</v>
      </c>
    </row>
    <row r="639" spans="1:9" x14ac:dyDescent="0.2">
      <c r="A639" s="35" t="s">
        <v>344</v>
      </c>
      <c r="B639" s="36" t="s">
        <v>549</v>
      </c>
      <c r="C639" s="36" t="s">
        <v>206</v>
      </c>
      <c r="D639" s="36" t="s">
        <v>352</v>
      </c>
      <c r="E639" s="36" t="s">
        <v>556</v>
      </c>
      <c r="F639" s="36" t="s">
        <v>345</v>
      </c>
      <c r="G639" s="46">
        <f>G640</f>
        <v>116</v>
      </c>
      <c r="H639" s="37">
        <f t="shared" ref="H639:I639" si="182">H640</f>
        <v>4000</v>
      </c>
      <c r="I639" s="37">
        <f t="shared" si="182"/>
        <v>5000</v>
      </c>
    </row>
    <row r="640" spans="1:9" x14ac:dyDescent="0.2">
      <c r="A640" s="35" t="s">
        <v>346</v>
      </c>
      <c r="B640" s="36" t="s">
        <v>549</v>
      </c>
      <c r="C640" s="36" t="s">
        <v>206</v>
      </c>
      <c r="D640" s="36" t="s">
        <v>352</v>
      </c>
      <c r="E640" s="36" t="s">
        <v>556</v>
      </c>
      <c r="F640" s="36" t="s">
        <v>347</v>
      </c>
      <c r="G640" s="46">
        <f>50+100-12-22</f>
        <v>116</v>
      </c>
      <c r="H640" s="46">
        <f>5000-1000</f>
        <v>4000</v>
      </c>
      <c r="I640" s="46">
        <v>5000</v>
      </c>
    </row>
    <row r="641" spans="1:9" x14ac:dyDescent="0.2">
      <c r="A641" s="29" t="s">
        <v>368</v>
      </c>
      <c r="B641" s="30" t="s">
        <v>549</v>
      </c>
      <c r="C641" s="30" t="s">
        <v>206</v>
      </c>
      <c r="D641" s="30" t="s">
        <v>283</v>
      </c>
      <c r="E641" s="36"/>
      <c r="F641" s="36"/>
      <c r="G641" s="31">
        <f>G642</f>
        <v>17000</v>
      </c>
      <c r="H641" s="31">
        <f t="shared" ref="H641:I641" si="183">H642</f>
        <v>27700</v>
      </c>
      <c r="I641" s="31">
        <f t="shared" si="183"/>
        <v>37625</v>
      </c>
    </row>
    <row r="642" spans="1:9" x14ac:dyDescent="0.2">
      <c r="A642" s="39" t="s">
        <v>551</v>
      </c>
      <c r="B642" s="40" t="s">
        <v>549</v>
      </c>
      <c r="C642" s="40" t="s">
        <v>206</v>
      </c>
      <c r="D642" s="40" t="s">
        <v>283</v>
      </c>
      <c r="E642" s="40" t="s">
        <v>552</v>
      </c>
      <c r="F642" s="40"/>
      <c r="G642" s="41">
        <f>G643+G646</f>
        <v>17000</v>
      </c>
      <c r="H642" s="41">
        <f>H643+H646</f>
        <v>27700</v>
      </c>
      <c r="I642" s="41">
        <f>I643+I646</f>
        <v>37625</v>
      </c>
    </row>
    <row r="643" spans="1:9" x14ac:dyDescent="0.2">
      <c r="A643" s="50" t="s">
        <v>567</v>
      </c>
      <c r="B643" s="30" t="s">
        <v>549</v>
      </c>
      <c r="C643" s="30" t="s">
        <v>206</v>
      </c>
      <c r="D643" s="30" t="s">
        <v>283</v>
      </c>
      <c r="E643" s="30" t="s">
        <v>568</v>
      </c>
      <c r="F643" s="30"/>
      <c r="G643" s="31">
        <f>G644</f>
        <v>16500</v>
      </c>
      <c r="H643" s="31">
        <f t="shared" ref="H643:I644" si="184">H644</f>
        <v>25500</v>
      </c>
      <c r="I643" s="31">
        <f t="shared" si="184"/>
        <v>35125</v>
      </c>
    </row>
    <row r="644" spans="1:9" x14ac:dyDescent="0.2">
      <c r="A644" s="35" t="s">
        <v>195</v>
      </c>
      <c r="B644" s="36" t="s">
        <v>549</v>
      </c>
      <c r="C644" s="36" t="s">
        <v>206</v>
      </c>
      <c r="D644" s="36" t="s">
        <v>283</v>
      </c>
      <c r="E644" s="36" t="s">
        <v>568</v>
      </c>
      <c r="F644" s="36" t="s">
        <v>196</v>
      </c>
      <c r="G644" s="37">
        <f>G645</f>
        <v>16500</v>
      </c>
      <c r="H644" s="37">
        <f t="shared" si="184"/>
        <v>25500</v>
      </c>
      <c r="I644" s="37">
        <f t="shared" si="184"/>
        <v>35125</v>
      </c>
    </row>
    <row r="645" spans="1:9" x14ac:dyDescent="0.2">
      <c r="A645" s="35" t="s">
        <v>197</v>
      </c>
      <c r="B645" s="36" t="s">
        <v>549</v>
      </c>
      <c r="C645" s="36" t="s">
        <v>206</v>
      </c>
      <c r="D645" s="36" t="s">
        <v>283</v>
      </c>
      <c r="E645" s="36" t="s">
        <v>568</v>
      </c>
      <c r="F645" s="36" t="s">
        <v>198</v>
      </c>
      <c r="G645" s="37">
        <f>11500+5000</f>
        <v>16500</v>
      </c>
      <c r="H645" s="37">
        <f>52500-20000-2000-5000</f>
        <v>25500</v>
      </c>
      <c r="I645" s="37">
        <f>55125-20000</f>
        <v>35125</v>
      </c>
    </row>
    <row r="646" spans="1:9" x14ac:dyDescent="0.2">
      <c r="A646" s="50" t="s">
        <v>555</v>
      </c>
      <c r="B646" s="30" t="s">
        <v>549</v>
      </c>
      <c r="C646" s="30" t="s">
        <v>206</v>
      </c>
      <c r="D646" s="30" t="s">
        <v>283</v>
      </c>
      <c r="E646" s="30" t="s">
        <v>556</v>
      </c>
      <c r="F646" s="30"/>
      <c r="G646" s="31">
        <f>G647</f>
        <v>500</v>
      </c>
      <c r="H646" s="31">
        <f t="shared" ref="H646:I647" si="185">H647</f>
        <v>2200</v>
      </c>
      <c r="I646" s="31">
        <f t="shared" si="185"/>
        <v>2500</v>
      </c>
    </row>
    <row r="647" spans="1:9" x14ac:dyDescent="0.2">
      <c r="A647" s="35" t="s">
        <v>195</v>
      </c>
      <c r="B647" s="36" t="s">
        <v>549</v>
      </c>
      <c r="C647" s="36" t="s">
        <v>206</v>
      </c>
      <c r="D647" s="36" t="s">
        <v>283</v>
      </c>
      <c r="E647" s="36" t="s">
        <v>556</v>
      </c>
      <c r="F647" s="36" t="s">
        <v>196</v>
      </c>
      <c r="G647" s="37">
        <f>G648</f>
        <v>500</v>
      </c>
      <c r="H647" s="37">
        <f t="shared" si="185"/>
        <v>2200</v>
      </c>
      <c r="I647" s="37">
        <f t="shared" si="185"/>
        <v>2500</v>
      </c>
    </row>
    <row r="648" spans="1:9" x14ac:dyDescent="0.2">
      <c r="A648" s="35" t="s">
        <v>197</v>
      </c>
      <c r="B648" s="36" t="s">
        <v>549</v>
      </c>
      <c r="C648" s="36" t="s">
        <v>206</v>
      </c>
      <c r="D648" s="36" t="s">
        <v>283</v>
      </c>
      <c r="E648" s="36" t="s">
        <v>556</v>
      </c>
      <c r="F648" s="36" t="s">
        <v>198</v>
      </c>
      <c r="G648" s="37">
        <v>500</v>
      </c>
      <c r="H648" s="46">
        <v>2200</v>
      </c>
      <c r="I648" s="46">
        <v>2500</v>
      </c>
    </row>
    <row r="649" spans="1:9" x14ac:dyDescent="0.2">
      <c r="A649" s="29" t="s">
        <v>539</v>
      </c>
      <c r="B649" s="30" t="s">
        <v>549</v>
      </c>
      <c r="C649" s="30" t="s">
        <v>206</v>
      </c>
      <c r="D649" s="30" t="s">
        <v>206</v>
      </c>
      <c r="E649" s="30"/>
      <c r="F649" s="30"/>
      <c r="G649" s="31">
        <f>G650</f>
        <v>10570.446750000001</v>
      </c>
      <c r="H649" s="31">
        <f t="shared" ref="H649:I650" si="186">H650</f>
        <v>8334.2000000000007</v>
      </c>
      <c r="I649" s="31">
        <f t="shared" si="186"/>
        <v>8334.2000000000007</v>
      </c>
    </row>
    <row r="650" spans="1:9" x14ac:dyDescent="0.2">
      <c r="A650" s="39" t="s">
        <v>178</v>
      </c>
      <c r="B650" s="40" t="s">
        <v>549</v>
      </c>
      <c r="C650" s="40" t="s">
        <v>206</v>
      </c>
      <c r="D650" s="40" t="s">
        <v>206</v>
      </c>
      <c r="E650" s="40" t="s">
        <v>189</v>
      </c>
      <c r="F650" s="40"/>
      <c r="G650" s="41">
        <f>G651</f>
        <v>10570.446750000001</v>
      </c>
      <c r="H650" s="41">
        <f t="shared" si="186"/>
        <v>8334.2000000000007</v>
      </c>
      <c r="I650" s="41">
        <f t="shared" si="186"/>
        <v>8334.2000000000007</v>
      </c>
    </row>
    <row r="651" spans="1:9" x14ac:dyDescent="0.2">
      <c r="A651" s="29" t="s">
        <v>180</v>
      </c>
      <c r="B651" s="30" t="s">
        <v>549</v>
      </c>
      <c r="C651" s="30" t="s">
        <v>206</v>
      </c>
      <c r="D651" s="30" t="s">
        <v>206</v>
      </c>
      <c r="E651" s="30" t="s">
        <v>190</v>
      </c>
      <c r="F651" s="36"/>
      <c r="G651" s="31">
        <f>G652+G655+G660</f>
        <v>10570.446750000001</v>
      </c>
      <c r="H651" s="31">
        <f>H652+H655+H660</f>
        <v>8334.2000000000007</v>
      </c>
      <c r="I651" s="31">
        <f>I652+I655+I660</f>
        <v>8334.2000000000007</v>
      </c>
    </row>
    <row r="652" spans="1:9" x14ac:dyDescent="0.2">
      <c r="A652" s="29" t="s">
        <v>492</v>
      </c>
      <c r="B652" s="30" t="s">
        <v>549</v>
      </c>
      <c r="C652" s="30" t="s">
        <v>206</v>
      </c>
      <c r="D652" s="30" t="s">
        <v>206</v>
      </c>
      <c r="E652" s="30" t="s">
        <v>192</v>
      </c>
      <c r="F652" s="30"/>
      <c r="G652" s="31">
        <f>G653</f>
        <v>9587.6980000000003</v>
      </c>
      <c r="H652" s="31">
        <f t="shared" ref="H652:I653" si="187">H653</f>
        <v>7404.2</v>
      </c>
      <c r="I652" s="31">
        <f t="shared" si="187"/>
        <v>7404.2</v>
      </c>
    </row>
    <row r="653" spans="1:9" ht="24" x14ac:dyDescent="0.2">
      <c r="A653" s="35" t="s">
        <v>185</v>
      </c>
      <c r="B653" s="36" t="s">
        <v>549</v>
      </c>
      <c r="C653" s="36" t="s">
        <v>206</v>
      </c>
      <c r="D653" s="36" t="s">
        <v>206</v>
      </c>
      <c r="E653" s="36" t="s">
        <v>192</v>
      </c>
      <c r="F653" s="36" t="s">
        <v>186</v>
      </c>
      <c r="G653" s="37">
        <f>G654</f>
        <v>9587.6980000000003</v>
      </c>
      <c r="H653" s="37">
        <f t="shared" si="187"/>
        <v>7404.2</v>
      </c>
      <c r="I653" s="37">
        <f t="shared" si="187"/>
        <v>7404.2</v>
      </c>
    </row>
    <row r="654" spans="1:9" x14ac:dyDescent="0.2">
      <c r="A654" s="35" t="s">
        <v>187</v>
      </c>
      <c r="B654" s="36" t="s">
        <v>549</v>
      </c>
      <c r="C654" s="36" t="s">
        <v>206</v>
      </c>
      <c r="D654" s="36" t="s">
        <v>206</v>
      </c>
      <c r="E654" s="36" t="s">
        <v>192</v>
      </c>
      <c r="F654" s="36" t="s">
        <v>188</v>
      </c>
      <c r="G654" s="37">
        <f>5560+50+1694.2+50+50+2183.498</f>
        <v>9587.6980000000003</v>
      </c>
      <c r="H654" s="37">
        <f t="shared" ref="H654:I654" si="188">5560+50+1694.2+50+50</f>
        <v>7404.2</v>
      </c>
      <c r="I654" s="37">
        <f t="shared" si="188"/>
        <v>7404.2</v>
      </c>
    </row>
    <row r="655" spans="1:9" x14ac:dyDescent="0.2">
      <c r="A655" s="29" t="s">
        <v>193</v>
      </c>
      <c r="B655" s="30" t="s">
        <v>549</v>
      </c>
      <c r="C655" s="30" t="s">
        <v>206</v>
      </c>
      <c r="D655" s="30" t="s">
        <v>206</v>
      </c>
      <c r="E655" s="30" t="s">
        <v>194</v>
      </c>
      <c r="F655" s="30"/>
      <c r="G655" s="31">
        <f>G656+G658</f>
        <v>680</v>
      </c>
      <c r="H655" s="31">
        <f>H656+H658</f>
        <v>930</v>
      </c>
      <c r="I655" s="31">
        <f>I656+I658</f>
        <v>930</v>
      </c>
    </row>
    <row r="656" spans="1:9" x14ac:dyDescent="0.2">
      <c r="A656" s="35" t="s">
        <v>195</v>
      </c>
      <c r="B656" s="36" t="s">
        <v>549</v>
      </c>
      <c r="C656" s="36" t="s">
        <v>206</v>
      </c>
      <c r="D656" s="36" t="s">
        <v>206</v>
      </c>
      <c r="E656" s="36" t="s">
        <v>194</v>
      </c>
      <c r="F656" s="36" t="s">
        <v>196</v>
      </c>
      <c r="G656" s="37">
        <f>G657</f>
        <v>470</v>
      </c>
      <c r="H656" s="37">
        <f t="shared" ref="H656:I656" si="189">H657</f>
        <v>770</v>
      </c>
      <c r="I656" s="37">
        <f t="shared" si="189"/>
        <v>770</v>
      </c>
    </row>
    <row r="657" spans="1:9" x14ac:dyDescent="0.2">
      <c r="A657" s="35" t="s">
        <v>197</v>
      </c>
      <c r="B657" s="36" t="s">
        <v>549</v>
      </c>
      <c r="C657" s="36" t="s">
        <v>206</v>
      </c>
      <c r="D657" s="36" t="s">
        <v>206</v>
      </c>
      <c r="E657" s="36" t="s">
        <v>194</v>
      </c>
      <c r="F657" s="36" t="s">
        <v>198</v>
      </c>
      <c r="G657" s="37">
        <v>470</v>
      </c>
      <c r="H657" s="37">
        <v>770</v>
      </c>
      <c r="I657" s="37">
        <v>770</v>
      </c>
    </row>
    <row r="658" spans="1:9" x14ac:dyDescent="0.2">
      <c r="A658" s="35" t="s">
        <v>199</v>
      </c>
      <c r="B658" s="36" t="s">
        <v>549</v>
      </c>
      <c r="C658" s="36" t="s">
        <v>206</v>
      </c>
      <c r="D658" s="36" t="s">
        <v>206</v>
      </c>
      <c r="E658" s="36" t="s">
        <v>194</v>
      </c>
      <c r="F658" s="36" t="s">
        <v>200</v>
      </c>
      <c r="G658" s="37">
        <f>G659</f>
        <v>210</v>
      </c>
      <c r="H658" s="37">
        <f t="shared" ref="H658:I658" si="190">H659</f>
        <v>160</v>
      </c>
      <c r="I658" s="37">
        <f t="shared" si="190"/>
        <v>160</v>
      </c>
    </row>
    <row r="659" spans="1:9" x14ac:dyDescent="0.2">
      <c r="A659" s="35" t="s">
        <v>201</v>
      </c>
      <c r="B659" s="36" t="s">
        <v>549</v>
      </c>
      <c r="C659" s="36" t="s">
        <v>206</v>
      </c>
      <c r="D659" s="36" t="s">
        <v>206</v>
      </c>
      <c r="E659" s="36" t="s">
        <v>194</v>
      </c>
      <c r="F659" s="36" t="s">
        <v>202</v>
      </c>
      <c r="G659" s="37">
        <f>110+100</f>
        <v>210</v>
      </c>
      <c r="H659" s="37">
        <v>160</v>
      </c>
      <c r="I659" s="37">
        <v>160</v>
      </c>
    </row>
    <row r="660" spans="1:9" x14ac:dyDescent="0.2">
      <c r="A660" s="75" t="s">
        <v>203</v>
      </c>
      <c r="B660" s="74" t="s">
        <v>549</v>
      </c>
      <c r="C660" s="74" t="s">
        <v>206</v>
      </c>
      <c r="D660" s="74" t="s">
        <v>206</v>
      </c>
      <c r="E660" s="74" t="s">
        <v>204</v>
      </c>
      <c r="F660" s="74"/>
      <c r="G660" s="127">
        <f t="shared" ref="G660:H661" si="191">G661</f>
        <v>302.74874999999997</v>
      </c>
      <c r="H660" s="248">
        <f t="shared" si="191"/>
        <v>0</v>
      </c>
      <c r="I660" s="37"/>
    </row>
    <row r="661" spans="1:9" ht="24" x14ac:dyDescent="0.2">
      <c r="A661" s="73" t="s">
        <v>185</v>
      </c>
      <c r="B661" s="12" t="s">
        <v>549</v>
      </c>
      <c r="C661" s="12" t="s">
        <v>206</v>
      </c>
      <c r="D661" s="12" t="s">
        <v>206</v>
      </c>
      <c r="E661" s="12" t="s">
        <v>204</v>
      </c>
      <c r="F661" s="12" t="s">
        <v>186</v>
      </c>
      <c r="G661" s="115">
        <f t="shared" si="191"/>
        <v>302.74874999999997</v>
      </c>
      <c r="H661" s="249">
        <f t="shared" si="191"/>
        <v>0</v>
      </c>
      <c r="I661" s="37"/>
    </row>
    <row r="662" spans="1:9" x14ac:dyDescent="0.2">
      <c r="A662" s="73" t="s">
        <v>187</v>
      </c>
      <c r="B662" s="12" t="s">
        <v>549</v>
      </c>
      <c r="C662" s="12" t="s">
        <v>206</v>
      </c>
      <c r="D662" s="12" t="s">
        <v>206</v>
      </c>
      <c r="E662" s="12" t="s">
        <v>204</v>
      </c>
      <c r="F662" s="12" t="s">
        <v>188</v>
      </c>
      <c r="G662" s="115">
        <v>302.74874999999997</v>
      </c>
      <c r="H662" s="249">
        <v>0</v>
      </c>
      <c r="I662" s="37"/>
    </row>
    <row r="663" spans="1:9" x14ac:dyDescent="0.2">
      <c r="A663" s="29" t="s">
        <v>374</v>
      </c>
      <c r="B663" s="30" t="s">
        <v>549</v>
      </c>
      <c r="C663" s="30" t="s">
        <v>375</v>
      </c>
      <c r="D663" s="30" t="s">
        <v>174</v>
      </c>
      <c r="E663" s="30"/>
      <c r="F663" s="30"/>
      <c r="G663" s="31">
        <f>G664</f>
        <v>83350</v>
      </c>
      <c r="H663" s="31">
        <f t="shared" ref="H663:I664" si="192">H664</f>
        <v>90750</v>
      </c>
      <c r="I663" s="31">
        <f t="shared" si="192"/>
        <v>117290</v>
      </c>
    </row>
    <row r="664" spans="1:9" x14ac:dyDescent="0.2">
      <c r="A664" s="29" t="s">
        <v>569</v>
      </c>
      <c r="B664" s="30" t="s">
        <v>549</v>
      </c>
      <c r="C664" s="30" t="s">
        <v>375</v>
      </c>
      <c r="D664" s="30" t="s">
        <v>412</v>
      </c>
      <c r="E664" s="36"/>
      <c r="F664" s="30"/>
      <c r="G664" s="31">
        <f>G665</f>
        <v>83350</v>
      </c>
      <c r="H664" s="31">
        <f t="shared" si="192"/>
        <v>90750</v>
      </c>
      <c r="I664" s="31">
        <f t="shared" si="192"/>
        <v>117290</v>
      </c>
    </row>
    <row r="665" spans="1:9" x14ac:dyDescent="0.2">
      <c r="A665" s="39" t="s">
        <v>551</v>
      </c>
      <c r="B665" s="40" t="s">
        <v>549</v>
      </c>
      <c r="C665" s="40" t="s">
        <v>375</v>
      </c>
      <c r="D665" s="40" t="s">
        <v>412</v>
      </c>
      <c r="E665" s="40" t="s">
        <v>552</v>
      </c>
      <c r="F665" s="40"/>
      <c r="G665" s="41">
        <f>G666+G669+G672</f>
        <v>83350</v>
      </c>
      <c r="H665" s="41">
        <f>H666+H669+H672</f>
        <v>90750</v>
      </c>
      <c r="I665" s="41">
        <f>I666+I669+I672</f>
        <v>117290</v>
      </c>
    </row>
    <row r="666" spans="1:9" x14ac:dyDescent="0.2">
      <c r="A666" s="50" t="s">
        <v>570</v>
      </c>
      <c r="B666" s="30" t="s">
        <v>549</v>
      </c>
      <c r="C666" s="30" t="s">
        <v>375</v>
      </c>
      <c r="D666" s="30" t="s">
        <v>412</v>
      </c>
      <c r="E666" s="62" t="s">
        <v>571</v>
      </c>
      <c r="F666" s="30"/>
      <c r="G666" s="31">
        <f>G667</f>
        <v>78800</v>
      </c>
      <c r="H666" s="31">
        <f t="shared" ref="H666:I667" si="193">H667</f>
        <v>60000</v>
      </c>
      <c r="I666" s="31">
        <f t="shared" si="193"/>
        <v>80750</v>
      </c>
    </row>
    <row r="667" spans="1:9" x14ac:dyDescent="0.2">
      <c r="A667" s="35" t="s">
        <v>195</v>
      </c>
      <c r="B667" s="36" t="s">
        <v>549</v>
      </c>
      <c r="C667" s="36" t="s">
        <v>375</v>
      </c>
      <c r="D667" s="36" t="s">
        <v>412</v>
      </c>
      <c r="E667" s="63" t="s">
        <v>571</v>
      </c>
      <c r="F667" s="36" t="s">
        <v>196</v>
      </c>
      <c r="G667" s="37">
        <f>G668</f>
        <v>78800</v>
      </c>
      <c r="H667" s="37">
        <f t="shared" si="193"/>
        <v>60000</v>
      </c>
      <c r="I667" s="37">
        <f t="shared" si="193"/>
        <v>80750</v>
      </c>
    </row>
    <row r="668" spans="1:9" x14ac:dyDescent="0.2">
      <c r="A668" s="35" t="s">
        <v>197</v>
      </c>
      <c r="B668" s="36" t="s">
        <v>549</v>
      </c>
      <c r="C668" s="36" t="s">
        <v>375</v>
      </c>
      <c r="D668" s="36" t="s">
        <v>412</v>
      </c>
      <c r="E668" s="63" t="s">
        <v>571</v>
      </c>
      <c r="F668" s="36" t="s">
        <v>198</v>
      </c>
      <c r="G668" s="37">
        <f>49500+9000+10000+7500+2800</f>
        <v>78800</v>
      </c>
      <c r="H668" s="37">
        <f>315000-250000-5000</f>
        <v>60000</v>
      </c>
      <c r="I668" s="37">
        <f>350750-270000</f>
        <v>80750</v>
      </c>
    </row>
    <row r="669" spans="1:9" ht="24" x14ac:dyDescent="0.2">
      <c r="A669" s="29" t="s">
        <v>572</v>
      </c>
      <c r="B669" s="30" t="s">
        <v>549</v>
      </c>
      <c r="C669" s="30" t="s">
        <v>375</v>
      </c>
      <c r="D669" s="30" t="s">
        <v>412</v>
      </c>
      <c r="E669" s="62" t="s">
        <v>573</v>
      </c>
      <c r="F669" s="30"/>
      <c r="G669" s="45">
        <f>G670</f>
        <v>0</v>
      </c>
      <c r="H669" s="31">
        <f t="shared" ref="H669:I670" si="194">H670</f>
        <v>18000</v>
      </c>
      <c r="I669" s="31">
        <f t="shared" si="194"/>
        <v>20000</v>
      </c>
    </row>
    <row r="670" spans="1:9" x14ac:dyDescent="0.2">
      <c r="A670" s="35" t="s">
        <v>344</v>
      </c>
      <c r="B670" s="36" t="s">
        <v>549</v>
      </c>
      <c r="C670" s="36" t="s">
        <v>375</v>
      </c>
      <c r="D670" s="36" t="s">
        <v>412</v>
      </c>
      <c r="E670" s="36" t="s">
        <v>573</v>
      </c>
      <c r="F670" s="36" t="s">
        <v>345</v>
      </c>
      <c r="G670" s="46">
        <f>G671</f>
        <v>0</v>
      </c>
      <c r="H670" s="37">
        <f t="shared" si="194"/>
        <v>18000</v>
      </c>
      <c r="I670" s="37">
        <f t="shared" si="194"/>
        <v>20000</v>
      </c>
    </row>
    <row r="671" spans="1:9" x14ac:dyDescent="0.2">
      <c r="A671" s="35" t="s">
        <v>346</v>
      </c>
      <c r="B671" s="36" t="s">
        <v>549</v>
      </c>
      <c r="C671" s="36" t="s">
        <v>375</v>
      </c>
      <c r="D671" s="36" t="s">
        <v>412</v>
      </c>
      <c r="E671" s="36" t="s">
        <v>573</v>
      </c>
      <c r="F671" s="36" t="s">
        <v>347</v>
      </c>
      <c r="G671" s="46">
        <v>0</v>
      </c>
      <c r="H671" s="46">
        <f>50000-30000-2000</f>
        <v>18000</v>
      </c>
      <c r="I671" s="46">
        <f>50000-30000</f>
        <v>20000</v>
      </c>
    </row>
    <row r="672" spans="1:9" x14ac:dyDescent="0.2">
      <c r="A672" s="50" t="s">
        <v>555</v>
      </c>
      <c r="B672" s="30" t="s">
        <v>549</v>
      </c>
      <c r="C672" s="30" t="s">
        <v>375</v>
      </c>
      <c r="D672" s="30" t="s">
        <v>412</v>
      </c>
      <c r="E672" s="30" t="s">
        <v>556</v>
      </c>
      <c r="F672" s="30"/>
      <c r="G672" s="31">
        <f>G673+G675</f>
        <v>4550</v>
      </c>
      <c r="H672" s="31">
        <f>H673+H675</f>
        <v>12750</v>
      </c>
      <c r="I672" s="31">
        <f>I673+I675</f>
        <v>16540</v>
      </c>
    </row>
    <row r="673" spans="1:9" x14ac:dyDescent="0.2">
      <c r="A673" s="35" t="s">
        <v>195</v>
      </c>
      <c r="B673" s="36" t="s">
        <v>549</v>
      </c>
      <c r="C673" s="36" t="s">
        <v>375</v>
      </c>
      <c r="D673" s="36" t="s">
        <v>412</v>
      </c>
      <c r="E673" s="36" t="s">
        <v>556</v>
      </c>
      <c r="F673" s="36" t="s">
        <v>196</v>
      </c>
      <c r="G673" s="37">
        <f>G674</f>
        <v>3823.53658</v>
      </c>
      <c r="H673" s="37">
        <f t="shared" ref="H673:I673" si="195">H674</f>
        <v>12750</v>
      </c>
      <c r="I673" s="37">
        <f t="shared" si="195"/>
        <v>16540</v>
      </c>
    </row>
    <row r="674" spans="1:9" x14ac:dyDescent="0.2">
      <c r="A674" s="35" t="s">
        <v>197</v>
      </c>
      <c r="B674" s="36" t="s">
        <v>549</v>
      </c>
      <c r="C674" s="36" t="s">
        <v>375</v>
      </c>
      <c r="D674" s="36" t="s">
        <v>412</v>
      </c>
      <c r="E674" s="36" t="s">
        <v>556</v>
      </c>
      <c r="F674" s="36" t="s">
        <v>198</v>
      </c>
      <c r="G674" s="37">
        <f>5000-50-726.46342-200-100-100</f>
        <v>3823.53658</v>
      </c>
      <c r="H674" s="46">
        <f>15750-3000</f>
        <v>12750</v>
      </c>
      <c r="I674" s="46">
        <v>16540</v>
      </c>
    </row>
    <row r="675" spans="1:9" x14ac:dyDescent="0.2">
      <c r="A675" s="35" t="s">
        <v>344</v>
      </c>
      <c r="B675" s="36" t="s">
        <v>549</v>
      </c>
      <c r="C675" s="36" t="s">
        <v>375</v>
      </c>
      <c r="D675" s="36" t="s">
        <v>412</v>
      </c>
      <c r="E675" s="36" t="s">
        <v>556</v>
      </c>
      <c r="F675" s="36" t="s">
        <v>345</v>
      </c>
      <c r="G675" s="37">
        <f>G676</f>
        <v>726.46342000000004</v>
      </c>
      <c r="H675" s="46">
        <f>H676</f>
        <v>0</v>
      </c>
      <c r="I675" s="46">
        <f>I676</f>
        <v>0</v>
      </c>
    </row>
    <row r="676" spans="1:9" x14ac:dyDescent="0.2">
      <c r="A676" s="35" t="s">
        <v>346</v>
      </c>
      <c r="B676" s="36" t="s">
        <v>549</v>
      </c>
      <c r="C676" s="36" t="s">
        <v>375</v>
      </c>
      <c r="D676" s="36" t="s">
        <v>412</v>
      </c>
      <c r="E676" s="36" t="s">
        <v>556</v>
      </c>
      <c r="F676" s="36" t="s">
        <v>347</v>
      </c>
      <c r="G676" s="37">
        <v>726.46342000000004</v>
      </c>
      <c r="H676" s="46">
        <v>0</v>
      </c>
      <c r="I676" s="46">
        <v>0</v>
      </c>
    </row>
    <row r="677" spans="1:9" x14ac:dyDescent="0.2">
      <c r="A677" s="29" t="s">
        <v>446</v>
      </c>
      <c r="B677" s="30" t="s">
        <v>549</v>
      </c>
      <c r="C677" s="30" t="s">
        <v>404</v>
      </c>
      <c r="D677" s="30" t="s">
        <v>174</v>
      </c>
      <c r="E677" s="30"/>
      <c r="F677" s="30"/>
      <c r="G677" s="45">
        <f>G678</f>
        <v>100</v>
      </c>
      <c r="H677" s="45">
        <f t="shared" ref="H677:I678" si="196">H678</f>
        <v>20000</v>
      </c>
      <c r="I677" s="45">
        <f t="shared" si="196"/>
        <v>20000</v>
      </c>
    </row>
    <row r="678" spans="1:9" x14ac:dyDescent="0.2">
      <c r="A678" s="29" t="s">
        <v>488</v>
      </c>
      <c r="B678" s="30" t="s">
        <v>549</v>
      </c>
      <c r="C678" s="30" t="s">
        <v>404</v>
      </c>
      <c r="D678" s="30" t="s">
        <v>177</v>
      </c>
      <c r="E678" s="30"/>
      <c r="F678" s="30"/>
      <c r="G678" s="45">
        <f>G679</f>
        <v>100</v>
      </c>
      <c r="H678" s="45">
        <f t="shared" si="196"/>
        <v>20000</v>
      </c>
      <c r="I678" s="45">
        <f t="shared" si="196"/>
        <v>20000</v>
      </c>
    </row>
    <row r="679" spans="1:9" x14ac:dyDescent="0.2">
      <c r="A679" s="39" t="s">
        <v>551</v>
      </c>
      <c r="B679" s="40" t="s">
        <v>549</v>
      </c>
      <c r="C679" s="40" t="s">
        <v>404</v>
      </c>
      <c r="D679" s="40" t="s">
        <v>177</v>
      </c>
      <c r="E679" s="40" t="s">
        <v>552</v>
      </c>
      <c r="F679" s="40"/>
      <c r="G679" s="47">
        <f>G680+G683+G686+G689</f>
        <v>100</v>
      </c>
      <c r="H679" s="47">
        <f>H680+H683+H686+H689</f>
        <v>20000</v>
      </c>
      <c r="I679" s="47">
        <f>I680+I683+I686+I689</f>
        <v>20000</v>
      </c>
    </row>
    <row r="680" spans="1:9" x14ac:dyDescent="0.2">
      <c r="A680" s="29" t="s">
        <v>574</v>
      </c>
      <c r="B680" s="30" t="s">
        <v>549</v>
      </c>
      <c r="C680" s="30" t="s">
        <v>404</v>
      </c>
      <c r="D680" s="30" t="s">
        <v>177</v>
      </c>
      <c r="E680" s="30" t="s">
        <v>575</v>
      </c>
      <c r="F680" s="30"/>
      <c r="G680" s="45">
        <f>G681</f>
        <v>0</v>
      </c>
      <c r="H680" s="45">
        <f t="shared" ref="H680:I681" si="197">H681</f>
        <v>8000</v>
      </c>
      <c r="I680" s="45">
        <f t="shared" si="197"/>
        <v>10000</v>
      </c>
    </row>
    <row r="681" spans="1:9" x14ac:dyDescent="0.2">
      <c r="A681" s="35" t="s">
        <v>195</v>
      </c>
      <c r="B681" s="36" t="s">
        <v>549</v>
      </c>
      <c r="C681" s="36" t="s">
        <v>404</v>
      </c>
      <c r="D681" s="36" t="s">
        <v>177</v>
      </c>
      <c r="E681" s="36" t="s">
        <v>575</v>
      </c>
      <c r="F681" s="36" t="s">
        <v>196</v>
      </c>
      <c r="G681" s="46">
        <f>G682</f>
        <v>0</v>
      </c>
      <c r="H681" s="46">
        <f t="shared" si="197"/>
        <v>8000</v>
      </c>
      <c r="I681" s="46">
        <f t="shared" si="197"/>
        <v>10000</v>
      </c>
    </row>
    <row r="682" spans="1:9" x14ac:dyDescent="0.2">
      <c r="A682" s="35" t="s">
        <v>197</v>
      </c>
      <c r="B682" s="36" t="s">
        <v>549</v>
      </c>
      <c r="C682" s="36" t="s">
        <v>404</v>
      </c>
      <c r="D682" s="36" t="s">
        <v>177</v>
      </c>
      <c r="E682" s="36" t="s">
        <v>575</v>
      </c>
      <c r="F682" s="36" t="s">
        <v>198</v>
      </c>
      <c r="G682" s="46">
        <v>0</v>
      </c>
      <c r="H682" s="46">
        <f>10000-2000</f>
        <v>8000</v>
      </c>
      <c r="I682" s="46">
        <v>10000</v>
      </c>
    </row>
    <row r="683" spans="1:9" x14ac:dyDescent="0.2">
      <c r="A683" s="29" t="s">
        <v>576</v>
      </c>
      <c r="B683" s="30" t="s">
        <v>549</v>
      </c>
      <c r="C683" s="30" t="s">
        <v>404</v>
      </c>
      <c r="D683" s="30" t="s">
        <v>177</v>
      </c>
      <c r="E683" s="30" t="s">
        <v>577</v>
      </c>
      <c r="F683" s="30"/>
      <c r="G683" s="45">
        <f>G684</f>
        <v>0</v>
      </c>
      <c r="H683" s="45">
        <f t="shared" ref="H683:I684" si="198">H684</f>
        <v>8000</v>
      </c>
      <c r="I683" s="45">
        <f t="shared" si="198"/>
        <v>10000</v>
      </c>
    </row>
    <row r="684" spans="1:9" x14ac:dyDescent="0.2">
      <c r="A684" s="35" t="s">
        <v>195</v>
      </c>
      <c r="B684" s="36" t="s">
        <v>549</v>
      </c>
      <c r="C684" s="36" t="s">
        <v>404</v>
      </c>
      <c r="D684" s="36" t="s">
        <v>177</v>
      </c>
      <c r="E684" s="36" t="s">
        <v>577</v>
      </c>
      <c r="F684" s="36" t="s">
        <v>196</v>
      </c>
      <c r="G684" s="46">
        <f>G685</f>
        <v>0</v>
      </c>
      <c r="H684" s="46">
        <f t="shared" si="198"/>
        <v>8000</v>
      </c>
      <c r="I684" s="46">
        <f t="shared" si="198"/>
        <v>10000</v>
      </c>
    </row>
    <row r="685" spans="1:9" x14ac:dyDescent="0.2">
      <c r="A685" s="35" t="s">
        <v>197</v>
      </c>
      <c r="B685" s="36" t="s">
        <v>549</v>
      </c>
      <c r="C685" s="36" t="s">
        <v>404</v>
      </c>
      <c r="D685" s="36" t="s">
        <v>177</v>
      </c>
      <c r="E685" s="36" t="s">
        <v>577</v>
      </c>
      <c r="F685" s="36" t="s">
        <v>198</v>
      </c>
      <c r="G685" s="46">
        <v>0</v>
      </c>
      <c r="H685" s="46">
        <f>10000-2000</f>
        <v>8000</v>
      </c>
      <c r="I685" s="46">
        <f>20000-10000</f>
        <v>10000</v>
      </c>
    </row>
    <row r="686" spans="1:9" ht="16.5" customHeight="1" x14ac:dyDescent="0.2">
      <c r="A686" s="29" t="s">
        <v>578</v>
      </c>
      <c r="B686" s="30" t="s">
        <v>549</v>
      </c>
      <c r="C686" s="30" t="s">
        <v>404</v>
      </c>
      <c r="D686" s="30" t="s">
        <v>177</v>
      </c>
      <c r="E686" s="30" t="s">
        <v>579</v>
      </c>
      <c r="F686" s="30"/>
      <c r="G686" s="45">
        <f>G687</f>
        <v>0</v>
      </c>
      <c r="H686" s="45">
        <f t="shared" ref="H686:I687" si="199">H687</f>
        <v>2500</v>
      </c>
      <c r="I686" s="45">
        <f t="shared" si="199"/>
        <v>0</v>
      </c>
    </row>
    <row r="687" spans="1:9" x14ac:dyDescent="0.2">
      <c r="A687" s="35" t="s">
        <v>344</v>
      </c>
      <c r="B687" s="36" t="s">
        <v>549</v>
      </c>
      <c r="C687" s="36" t="s">
        <v>404</v>
      </c>
      <c r="D687" s="36" t="s">
        <v>177</v>
      </c>
      <c r="E687" s="36" t="s">
        <v>579</v>
      </c>
      <c r="F687" s="36" t="s">
        <v>345</v>
      </c>
      <c r="G687" s="46">
        <f>G688</f>
        <v>0</v>
      </c>
      <c r="H687" s="46">
        <f t="shared" si="199"/>
        <v>2500</v>
      </c>
      <c r="I687" s="46">
        <f t="shared" si="199"/>
        <v>0</v>
      </c>
    </row>
    <row r="688" spans="1:9" x14ac:dyDescent="0.2">
      <c r="A688" s="35" t="s">
        <v>346</v>
      </c>
      <c r="B688" s="36" t="s">
        <v>549</v>
      </c>
      <c r="C688" s="36" t="s">
        <v>404</v>
      </c>
      <c r="D688" s="36" t="s">
        <v>177</v>
      </c>
      <c r="E688" s="36" t="s">
        <v>579</v>
      </c>
      <c r="F688" s="36" t="s">
        <v>347</v>
      </c>
      <c r="G688" s="46">
        <v>0</v>
      </c>
      <c r="H688" s="46">
        <v>2500</v>
      </c>
      <c r="I688" s="46">
        <v>0</v>
      </c>
    </row>
    <row r="689" spans="1:9" x14ac:dyDescent="0.2">
      <c r="A689" s="50" t="s">
        <v>555</v>
      </c>
      <c r="B689" s="30" t="s">
        <v>549</v>
      </c>
      <c r="C689" s="30" t="s">
        <v>404</v>
      </c>
      <c r="D689" s="30" t="s">
        <v>177</v>
      </c>
      <c r="E689" s="30" t="s">
        <v>556</v>
      </c>
      <c r="F689" s="30"/>
      <c r="G689" s="45">
        <f>G692+G690</f>
        <v>100</v>
      </c>
      <c r="H689" s="45">
        <f>H692+H690</f>
        <v>1500</v>
      </c>
      <c r="I689" s="45">
        <f>I692</f>
        <v>0</v>
      </c>
    </row>
    <row r="690" spans="1:9" x14ac:dyDescent="0.2">
      <c r="A690" s="35" t="s">
        <v>195</v>
      </c>
      <c r="B690" s="36" t="s">
        <v>549</v>
      </c>
      <c r="C690" s="36" t="s">
        <v>404</v>
      </c>
      <c r="D690" s="36" t="s">
        <v>177</v>
      </c>
      <c r="E690" s="36" t="s">
        <v>556</v>
      </c>
      <c r="F690" s="36" t="s">
        <v>196</v>
      </c>
      <c r="G690" s="37">
        <f>G691</f>
        <v>38</v>
      </c>
      <c r="H690" s="46">
        <f>H691</f>
        <v>0</v>
      </c>
      <c r="I690" s="46">
        <f>I691</f>
        <v>0</v>
      </c>
    </row>
    <row r="691" spans="1:9" x14ac:dyDescent="0.2">
      <c r="A691" s="35" t="s">
        <v>197</v>
      </c>
      <c r="B691" s="36" t="s">
        <v>549</v>
      </c>
      <c r="C691" s="36" t="s">
        <v>404</v>
      </c>
      <c r="D691" s="36" t="s">
        <v>177</v>
      </c>
      <c r="E691" s="36" t="s">
        <v>556</v>
      </c>
      <c r="F691" s="36" t="s">
        <v>198</v>
      </c>
      <c r="G691" s="37">
        <v>38</v>
      </c>
      <c r="H691" s="46">
        <v>0</v>
      </c>
      <c r="I691" s="46">
        <v>0</v>
      </c>
    </row>
    <row r="692" spans="1:9" x14ac:dyDescent="0.2">
      <c r="A692" s="35" t="s">
        <v>344</v>
      </c>
      <c r="B692" s="36" t="s">
        <v>549</v>
      </c>
      <c r="C692" s="36" t="s">
        <v>404</v>
      </c>
      <c r="D692" s="36" t="s">
        <v>177</v>
      </c>
      <c r="E692" s="36" t="s">
        <v>556</v>
      </c>
      <c r="F692" s="36" t="s">
        <v>345</v>
      </c>
      <c r="G692" s="46">
        <f>G693</f>
        <v>62</v>
      </c>
      <c r="H692" s="46">
        <f t="shared" ref="H692:I692" si="200">H693</f>
        <v>1500</v>
      </c>
      <c r="I692" s="46">
        <f t="shared" si="200"/>
        <v>0</v>
      </c>
    </row>
    <row r="693" spans="1:9" x14ac:dyDescent="0.2">
      <c r="A693" s="35" t="s">
        <v>346</v>
      </c>
      <c r="B693" s="36" t="s">
        <v>549</v>
      </c>
      <c r="C693" s="36" t="s">
        <v>404</v>
      </c>
      <c r="D693" s="36" t="s">
        <v>177</v>
      </c>
      <c r="E693" s="36" t="s">
        <v>556</v>
      </c>
      <c r="F693" s="36" t="s">
        <v>347</v>
      </c>
      <c r="G693" s="46">
        <f>100-38</f>
        <v>62</v>
      </c>
      <c r="H693" s="46">
        <v>1500</v>
      </c>
      <c r="I693" s="46">
        <v>0</v>
      </c>
    </row>
    <row r="694" spans="1:9" ht="15.75" x14ac:dyDescent="0.2">
      <c r="A694" s="200" t="s">
        <v>580</v>
      </c>
      <c r="B694" s="34" t="s">
        <v>581</v>
      </c>
      <c r="C694" s="205"/>
      <c r="D694" s="205"/>
      <c r="E694" s="34"/>
      <c r="F694" s="34"/>
      <c r="G694" s="201">
        <f>G695+G716+G723</f>
        <v>17147.85759</v>
      </c>
      <c r="H694" s="201">
        <f>H695+H716+H723</f>
        <v>11200.5</v>
      </c>
      <c r="I694" s="201">
        <f>I695+I716+I723</f>
        <v>12200.5</v>
      </c>
    </row>
    <row r="695" spans="1:9" x14ac:dyDescent="0.2">
      <c r="A695" s="29" t="s">
        <v>172</v>
      </c>
      <c r="B695" s="30" t="s">
        <v>581</v>
      </c>
      <c r="C695" s="30" t="s">
        <v>173</v>
      </c>
      <c r="D695" s="30" t="s">
        <v>174</v>
      </c>
      <c r="E695" s="30"/>
      <c r="F695" s="30"/>
      <c r="G695" s="31">
        <f>G696+G710</f>
        <v>13444.417589999999</v>
      </c>
      <c r="H695" s="31">
        <f>H696+H710</f>
        <v>10083.299999999999</v>
      </c>
      <c r="I695" s="31">
        <f>I696+I710</f>
        <v>10083.299999999999</v>
      </c>
    </row>
    <row r="696" spans="1:9" ht="24" x14ac:dyDescent="0.2">
      <c r="A696" s="29" t="s">
        <v>175</v>
      </c>
      <c r="B696" s="30" t="s">
        <v>581</v>
      </c>
      <c r="C696" s="30" t="s">
        <v>173</v>
      </c>
      <c r="D696" s="30" t="s">
        <v>177</v>
      </c>
      <c r="E696" s="30"/>
      <c r="F696" s="30"/>
      <c r="G696" s="31">
        <f>G697</f>
        <v>12944.417589999999</v>
      </c>
      <c r="H696" s="31">
        <f t="shared" ref="H696:I697" si="201">H697</f>
        <v>9583.2999999999993</v>
      </c>
      <c r="I696" s="31">
        <f t="shared" si="201"/>
        <v>9583.2999999999993</v>
      </c>
    </row>
    <row r="697" spans="1:9" x14ac:dyDescent="0.2">
      <c r="A697" s="39" t="s">
        <v>178</v>
      </c>
      <c r="B697" s="40" t="s">
        <v>581</v>
      </c>
      <c r="C697" s="40" t="s">
        <v>173</v>
      </c>
      <c r="D697" s="40" t="s">
        <v>177</v>
      </c>
      <c r="E697" s="40" t="s">
        <v>189</v>
      </c>
      <c r="F697" s="40"/>
      <c r="G697" s="41">
        <f>G698</f>
        <v>12944.417589999999</v>
      </c>
      <c r="H697" s="41">
        <f t="shared" si="201"/>
        <v>9583.2999999999993</v>
      </c>
      <c r="I697" s="41">
        <f t="shared" si="201"/>
        <v>9583.2999999999993</v>
      </c>
    </row>
    <row r="698" spans="1:9" x14ac:dyDescent="0.2">
      <c r="A698" s="29" t="s">
        <v>180</v>
      </c>
      <c r="B698" s="30" t="s">
        <v>581</v>
      </c>
      <c r="C698" s="30" t="s">
        <v>173</v>
      </c>
      <c r="D698" s="30" t="s">
        <v>177</v>
      </c>
      <c r="E698" s="30" t="s">
        <v>190</v>
      </c>
      <c r="F698" s="30"/>
      <c r="G698" s="31">
        <f>G699+G702+G707</f>
        <v>12944.417589999999</v>
      </c>
      <c r="H698" s="31">
        <f>H699+H702+H707</f>
        <v>9583.2999999999993</v>
      </c>
      <c r="I698" s="31">
        <f>I699+I702+I707</f>
        <v>9583.2999999999993</v>
      </c>
    </row>
    <row r="699" spans="1:9" x14ac:dyDescent="0.2">
      <c r="A699" s="29" t="s">
        <v>183</v>
      </c>
      <c r="B699" s="30" t="s">
        <v>581</v>
      </c>
      <c r="C699" s="30" t="s">
        <v>173</v>
      </c>
      <c r="D699" s="30" t="s">
        <v>177</v>
      </c>
      <c r="E699" s="30" t="s">
        <v>192</v>
      </c>
      <c r="F699" s="30"/>
      <c r="G699" s="31">
        <f>G700</f>
        <v>12023.800999999999</v>
      </c>
      <c r="H699" s="31">
        <f t="shared" ref="H699:I699" si="202">H700</f>
        <v>9048</v>
      </c>
      <c r="I699" s="31">
        <f t="shared" si="202"/>
        <v>9048</v>
      </c>
    </row>
    <row r="700" spans="1:9" ht="24" x14ac:dyDescent="0.2">
      <c r="A700" s="35" t="s">
        <v>185</v>
      </c>
      <c r="B700" s="36" t="s">
        <v>581</v>
      </c>
      <c r="C700" s="36" t="s">
        <v>173</v>
      </c>
      <c r="D700" s="36" t="s">
        <v>177</v>
      </c>
      <c r="E700" s="36" t="s">
        <v>192</v>
      </c>
      <c r="F700" s="36" t="s">
        <v>186</v>
      </c>
      <c r="G700" s="37">
        <f t="shared" ref="G700:I700" si="203">G701</f>
        <v>12023.800999999999</v>
      </c>
      <c r="H700" s="37">
        <f t="shared" si="203"/>
        <v>9048</v>
      </c>
      <c r="I700" s="37">
        <f t="shared" si="203"/>
        <v>9048</v>
      </c>
    </row>
    <row r="701" spans="1:9" x14ac:dyDescent="0.2">
      <c r="A701" s="35" t="s">
        <v>187</v>
      </c>
      <c r="B701" s="36" t="s">
        <v>581</v>
      </c>
      <c r="C701" s="36" t="s">
        <v>173</v>
      </c>
      <c r="D701" s="36" t="s">
        <v>177</v>
      </c>
      <c r="E701" s="36" t="s">
        <v>192</v>
      </c>
      <c r="F701" s="36" t="s">
        <v>188</v>
      </c>
      <c r="G701" s="37">
        <f>6899.3+50+2098.7+2975.801</f>
        <v>12023.800999999999</v>
      </c>
      <c r="H701" s="37">
        <f>6899.3+50+2098.7</f>
        <v>9048</v>
      </c>
      <c r="I701" s="37">
        <f>6899.3+50+2098.7</f>
        <v>9048</v>
      </c>
    </row>
    <row r="702" spans="1:9" x14ac:dyDescent="0.2">
      <c r="A702" s="29" t="s">
        <v>193</v>
      </c>
      <c r="B702" s="30" t="s">
        <v>581</v>
      </c>
      <c r="C702" s="30" t="s">
        <v>173</v>
      </c>
      <c r="D702" s="30" t="s">
        <v>177</v>
      </c>
      <c r="E702" s="30" t="s">
        <v>194</v>
      </c>
      <c r="F702" s="30"/>
      <c r="G702" s="31">
        <f>G703+G705</f>
        <v>535.29999999999995</v>
      </c>
      <c r="H702" s="31">
        <f>H703+H705</f>
        <v>535.29999999999995</v>
      </c>
      <c r="I702" s="31">
        <f>I703+I705</f>
        <v>535.29999999999995</v>
      </c>
    </row>
    <row r="703" spans="1:9" x14ac:dyDescent="0.2">
      <c r="A703" s="35" t="s">
        <v>195</v>
      </c>
      <c r="B703" s="36" t="s">
        <v>581</v>
      </c>
      <c r="C703" s="36" t="s">
        <v>173</v>
      </c>
      <c r="D703" s="36" t="s">
        <v>177</v>
      </c>
      <c r="E703" s="36" t="s">
        <v>194</v>
      </c>
      <c r="F703" s="36" t="s">
        <v>196</v>
      </c>
      <c r="G703" s="37">
        <f>G704</f>
        <v>530.29999999999995</v>
      </c>
      <c r="H703" s="37">
        <f>H704</f>
        <v>530.29999999999995</v>
      </c>
      <c r="I703" s="37">
        <f>I704</f>
        <v>530.29999999999995</v>
      </c>
    </row>
    <row r="704" spans="1:9" x14ac:dyDescent="0.2">
      <c r="A704" s="35" t="s">
        <v>197</v>
      </c>
      <c r="B704" s="36" t="s">
        <v>581</v>
      </c>
      <c r="C704" s="36" t="s">
        <v>173</v>
      </c>
      <c r="D704" s="36" t="s">
        <v>177</v>
      </c>
      <c r="E704" s="36" t="s">
        <v>194</v>
      </c>
      <c r="F704" s="36" t="s">
        <v>198</v>
      </c>
      <c r="G704" s="37">
        <v>530.29999999999995</v>
      </c>
      <c r="H704" s="37">
        <v>530.29999999999995</v>
      </c>
      <c r="I704" s="37">
        <v>530.29999999999995</v>
      </c>
    </row>
    <row r="705" spans="1:9" x14ac:dyDescent="0.2">
      <c r="A705" s="35" t="s">
        <v>199</v>
      </c>
      <c r="B705" s="36" t="s">
        <v>581</v>
      </c>
      <c r="C705" s="36" t="s">
        <v>173</v>
      </c>
      <c r="D705" s="36" t="s">
        <v>177</v>
      </c>
      <c r="E705" s="36" t="s">
        <v>194</v>
      </c>
      <c r="F705" s="36" t="s">
        <v>200</v>
      </c>
      <c r="G705" s="37">
        <f>G706</f>
        <v>5</v>
      </c>
      <c r="H705" s="37">
        <f>H706</f>
        <v>5</v>
      </c>
      <c r="I705" s="37">
        <f>I706</f>
        <v>5</v>
      </c>
    </row>
    <row r="706" spans="1:9" x14ac:dyDescent="0.2">
      <c r="A706" s="35" t="s">
        <v>201</v>
      </c>
      <c r="B706" s="36" t="s">
        <v>581</v>
      </c>
      <c r="C706" s="36" t="s">
        <v>173</v>
      </c>
      <c r="D706" s="36" t="s">
        <v>177</v>
      </c>
      <c r="E706" s="36" t="s">
        <v>194</v>
      </c>
      <c r="F706" s="36" t="s">
        <v>202</v>
      </c>
      <c r="G706" s="37">
        <v>5</v>
      </c>
      <c r="H706" s="37">
        <v>5</v>
      </c>
      <c r="I706" s="37">
        <v>5</v>
      </c>
    </row>
    <row r="707" spans="1:9" x14ac:dyDescent="0.2">
      <c r="A707" s="75" t="s">
        <v>203</v>
      </c>
      <c r="B707" s="74" t="s">
        <v>581</v>
      </c>
      <c r="C707" s="74" t="s">
        <v>173</v>
      </c>
      <c r="D707" s="74" t="s">
        <v>177</v>
      </c>
      <c r="E707" s="74" t="s">
        <v>204</v>
      </c>
      <c r="F707" s="74"/>
      <c r="G707" s="127">
        <f t="shared" ref="G707:H708" si="204">G708</f>
        <v>385.31659000000002</v>
      </c>
      <c r="H707" s="248">
        <f t="shared" si="204"/>
        <v>0</v>
      </c>
      <c r="I707" s="37"/>
    </row>
    <row r="708" spans="1:9" ht="24" x14ac:dyDescent="0.2">
      <c r="A708" s="73" t="s">
        <v>185</v>
      </c>
      <c r="B708" s="12" t="s">
        <v>581</v>
      </c>
      <c r="C708" s="12" t="s">
        <v>173</v>
      </c>
      <c r="D708" s="12" t="s">
        <v>177</v>
      </c>
      <c r="E708" s="12" t="s">
        <v>204</v>
      </c>
      <c r="F708" s="12" t="s">
        <v>186</v>
      </c>
      <c r="G708" s="115">
        <f t="shared" si="204"/>
        <v>385.31659000000002</v>
      </c>
      <c r="H708" s="249">
        <f t="shared" si="204"/>
        <v>0</v>
      </c>
      <c r="I708" s="37"/>
    </row>
    <row r="709" spans="1:9" x14ac:dyDescent="0.2">
      <c r="A709" s="73" t="s">
        <v>187</v>
      </c>
      <c r="B709" s="12" t="s">
        <v>581</v>
      </c>
      <c r="C709" s="12" t="s">
        <v>173</v>
      </c>
      <c r="D709" s="12" t="s">
        <v>177</v>
      </c>
      <c r="E709" s="12" t="s">
        <v>204</v>
      </c>
      <c r="F709" s="12" t="s">
        <v>188</v>
      </c>
      <c r="G709" s="115">
        <v>385.31659000000002</v>
      </c>
      <c r="H709" s="249">
        <v>0</v>
      </c>
      <c r="I709" s="37"/>
    </row>
    <row r="710" spans="1:9" x14ac:dyDescent="0.2">
      <c r="A710" s="57" t="s">
        <v>215</v>
      </c>
      <c r="B710" s="30" t="s">
        <v>581</v>
      </c>
      <c r="C710" s="30" t="s">
        <v>173</v>
      </c>
      <c r="D710" s="30" t="s">
        <v>216</v>
      </c>
      <c r="E710" s="30"/>
      <c r="F710" s="30"/>
      <c r="G710" s="31">
        <f>G711</f>
        <v>500</v>
      </c>
      <c r="H710" s="31">
        <f t="shared" ref="H710:I714" si="205">H711</f>
        <v>500</v>
      </c>
      <c r="I710" s="31">
        <f t="shared" si="205"/>
        <v>500</v>
      </c>
    </row>
    <row r="711" spans="1:9" x14ac:dyDescent="0.2">
      <c r="A711" s="39" t="s">
        <v>178</v>
      </c>
      <c r="B711" s="40" t="s">
        <v>581</v>
      </c>
      <c r="C711" s="40" t="s">
        <v>173</v>
      </c>
      <c r="D711" s="40" t="s">
        <v>216</v>
      </c>
      <c r="E711" s="40" t="s">
        <v>189</v>
      </c>
      <c r="F711" s="36"/>
      <c r="G711" s="206">
        <f>G712</f>
        <v>500</v>
      </c>
      <c r="H711" s="41">
        <f t="shared" si="205"/>
        <v>500</v>
      </c>
      <c r="I711" s="41">
        <f t="shared" si="205"/>
        <v>500</v>
      </c>
    </row>
    <row r="712" spans="1:9" x14ac:dyDescent="0.2">
      <c r="A712" s="29" t="s">
        <v>180</v>
      </c>
      <c r="B712" s="30" t="s">
        <v>581</v>
      </c>
      <c r="C712" s="30" t="s">
        <v>173</v>
      </c>
      <c r="D712" s="30" t="s">
        <v>216</v>
      </c>
      <c r="E712" s="30" t="s">
        <v>190</v>
      </c>
      <c r="F712" s="36"/>
      <c r="G712" s="58">
        <f>G713</f>
        <v>500</v>
      </c>
      <c r="H712" s="31">
        <f t="shared" si="205"/>
        <v>500</v>
      </c>
      <c r="I712" s="31">
        <f t="shared" si="205"/>
        <v>500</v>
      </c>
    </row>
    <row r="713" spans="1:9" x14ac:dyDescent="0.2">
      <c r="A713" s="29" t="s">
        <v>362</v>
      </c>
      <c r="B713" s="30" t="s">
        <v>581</v>
      </c>
      <c r="C713" s="30" t="s">
        <v>173</v>
      </c>
      <c r="D713" s="30" t="s">
        <v>216</v>
      </c>
      <c r="E713" s="30" t="s">
        <v>363</v>
      </c>
      <c r="F713" s="36"/>
      <c r="G713" s="58">
        <f>G714</f>
        <v>500</v>
      </c>
      <c r="H713" s="31">
        <f t="shared" si="205"/>
        <v>500</v>
      </c>
      <c r="I713" s="31">
        <f t="shared" si="205"/>
        <v>500</v>
      </c>
    </row>
    <row r="714" spans="1:9" ht="24" x14ac:dyDescent="0.2">
      <c r="A714" s="35" t="s">
        <v>185</v>
      </c>
      <c r="B714" s="36" t="s">
        <v>581</v>
      </c>
      <c r="C714" s="36" t="s">
        <v>173</v>
      </c>
      <c r="D714" s="36" t="s">
        <v>216</v>
      </c>
      <c r="E714" s="36" t="s">
        <v>363</v>
      </c>
      <c r="F714" s="36" t="s">
        <v>186</v>
      </c>
      <c r="G714" s="59">
        <f>G715</f>
        <v>500</v>
      </c>
      <c r="H714" s="37">
        <f t="shared" si="205"/>
        <v>500</v>
      </c>
      <c r="I714" s="37">
        <f t="shared" si="205"/>
        <v>500</v>
      </c>
    </row>
    <row r="715" spans="1:9" x14ac:dyDescent="0.2">
      <c r="A715" s="35" t="s">
        <v>187</v>
      </c>
      <c r="B715" s="36" t="s">
        <v>581</v>
      </c>
      <c r="C715" s="36" t="s">
        <v>173</v>
      </c>
      <c r="D715" s="36" t="s">
        <v>216</v>
      </c>
      <c r="E715" s="36" t="s">
        <v>363</v>
      </c>
      <c r="F715" s="36" t="s">
        <v>188</v>
      </c>
      <c r="G715" s="59">
        <v>500</v>
      </c>
      <c r="H715" s="37">
        <v>500</v>
      </c>
      <c r="I715" s="37">
        <v>500</v>
      </c>
    </row>
    <row r="716" spans="1:9" x14ac:dyDescent="0.2">
      <c r="A716" s="29" t="s">
        <v>290</v>
      </c>
      <c r="B716" s="30" t="s">
        <v>581</v>
      </c>
      <c r="C716" s="30" t="s">
        <v>177</v>
      </c>
      <c r="D716" s="30" t="s">
        <v>174</v>
      </c>
      <c r="E716" s="36"/>
      <c r="F716" s="36"/>
      <c r="G716" s="31">
        <f t="shared" ref="G716:I721" si="206">G717</f>
        <v>117.2</v>
      </c>
      <c r="H716" s="58">
        <f t="shared" si="206"/>
        <v>117.2</v>
      </c>
      <c r="I716" s="58">
        <f t="shared" si="206"/>
        <v>117.2</v>
      </c>
    </row>
    <row r="717" spans="1:9" x14ac:dyDescent="0.2">
      <c r="A717" s="29" t="s">
        <v>364</v>
      </c>
      <c r="B717" s="30" t="s">
        <v>581</v>
      </c>
      <c r="C717" s="30" t="s">
        <v>177</v>
      </c>
      <c r="D717" s="30" t="s">
        <v>173</v>
      </c>
      <c r="E717" s="36"/>
      <c r="F717" s="36"/>
      <c r="G717" s="31">
        <f t="shared" si="206"/>
        <v>117.2</v>
      </c>
      <c r="H717" s="58">
        <f t="shared" si="206"/>
        <v>117.2</v>
      </c>
      <c r="I717" s="58">
        <f t="shared" si="206"/>
        <v>117.2</v>
      </c>
    </row>
    <row r="718" spans="1:9" x14ac:dyDescent="0.2">
      <c r="A718" s="39" t="s">
        <v>178</v>
      </c>
      <c r="B718" s="40" t="s">
        <v>581</v>
      </c>
      <c r="C718" s="30" t="s">
        <v>177</v>
      </c>
      <c r="D718" s="30" t="s">
        <v>173</v>
      </c>
      <c r="E718" s="40" t="s">
        <v>189</v>
      </c>
      <c r="F718" s="40"/>
      <c r="G718" s="41">
        <f t="shared" si="206"/>
        <v>117.2</v>
      </c>
      <c r="H718" s="206">
        <f t="shared" si="206"/>
        <v>117.2</v>
      </c>
      <c r="I718" s="206">
        <f t="shared" si="206"/>
        <v>117.2</v>
      </c>
    </row>
    <row r="719" spans="1:9" x14ac:dyDescent="0.2">
      <c r="A719" s="29" t="s">
        <v>180</v>
      </c>
      <c r="B719" s="30" t="s">
        <v>581</v>
      </c>
      <c r="C719" s="30" t="s">
        <v>177</v>
      </c>
      <c r="D719" s="30" t="s">
        <v>173</v>
      </c>
      <c r="E719" s="30" t="s">
        <v>190</v>
      </c>
      <c r="F719" s="30"/>
      <c r="G719" s="31">
        <f t="shared" si="206"/>
        <v>117.2</v>
      </c>
      <c r="H719" s="58">
        <f t="shared" si="206"/>
        <v>117.2</v>
      </c>
      <c r="I719" s="58">
        <f t="shared" si="206"/>
        <v>117.2</v>
      </c>
    </row>
    <row r="720" spans="1:9" x14ac:dyDescent="0.2">
      <c r="A720" s="39" t="s">
        <v>365</v>
      </c>
      <c r="B720" s="40" t="s">
        <v>581</v>
      </c>
      <c r="C720" s="40" t="s">
        <v>177</v>
      </c>
      <c r="D720" s="40" t="s">
        <v>173</v>
      </c>
      <c r="E720" s="40" t="s">
        <v>366</v>
      </c>
      <c r="F720" s="40"/>
      <c r="G720" s="41">
        <f t="shared" si="206"/>
        <v>117.2</v>
      </c>
      <c r="H720" s="206">
        <f t="shared" si="206"/>
        <v>117.2</v>
      </c>
      <c r="I720" s="206">
        <f t="shared" si="206"/>
        <v>117.2</v>
      </c>
    </row>
    <row r="721" spans="1:9" ht="24" x14ac:dyDescent="0.2">
      <c r="A721" s="35" t="s">
        <v>185</v>
      </c>
      <c r="B721" s="36" t="s">
        <v>581</v>
      </c>
      <c r="C721" s="36" t="s">
        <v>177</v>
      </c>
      <c r="D721" s="36" t="s">
        <v>173</v>
      </c>
      <c r="E721" s="36" t="s">
        <v>366</v>
      </c>
      <c r="F721" s="36" t="s">
        <v>186</v>
      </c>
      <c r="G721" s="37">
        <f t="shared" si="206"/>
        <v>117.2</v>
      </c>
      <c r="H721" s="59">
        <f t="shared" si="206"/>
        <v>117.2</v>
      </c>
      <c r="I721" s="59">
        <f t="shared" si="206"/>
        <v>117.2</v>
      </c>
    </row>
    <row r="722" spans="1:9" x14ac:dyDescent="0.2">
      <c r="A722" s="35" t="s">
        <v>187</v>
      </c>
      <c r="B722" s="36" t="s">
        <v>581</v>
      </c>
      <c r="C722" s="36" t="s">
        <v>177</v>
      </c>
      <c r="D722" s="36" t="s">
        <v>173</v>
      </c>
      <c r="E722" s="36" t="s">
        <v>366</v>
      </c>
      <c r="F722" s="36" t="s">
        <v>188</v>
      </c>
      <c r="G722" s="37">
        <v>117.2</v>
      </c>
      <c r="H722" s="37">
        <v>117.2</v>
      </c>
      <c r="I722" s="37">
        <v>117.2</v>
      </c>
    </row>
    <row r="723" spans="1:9" x14ac:dyDescent="0.2">
      <c r="A723" s="29" t="s">
        <v>367</v>
      </c>
      <c r="B723" s="30" t="s">
        <v>581</v>
      </c>
      <c r="C723" s="30" t="s">
        <v>206</v>
      </c>
      <c r="D723" s="30" t="s">
        <v>174</v>
      </c>
      <c r="E723" s="36"/>
      <c r="F723" s="36"/>
      <c r="G723" s="31">
        <f t="shared" ref="G723:I728" si="207">G724</f>
        <v>3586.24</v>
      </c>
      <c r="H723" s="31">
        <f t="shared" si="207"/>
        <v>1000</v>
      </c>
      <c r="I723" s="31">
        <f t="shared" si="207"/>
        <v>2000</v>
      </c>
    </row>
    <row r="724" spans="1:9" x14ac:dyDescent="0.2">
      <c r="A724" s="29" t="s">
        <v>368</v>
      </c>
      <c r="B724" s="30" t="s">
        <v>581</v>
      </c>
      <c r="C724" s="30" t="s">
        <v>206</v>
      </c>
      <c r="D724" s="30" t="s">
        <v>283</v>
      </c>
      <c r="E724" s="40"/>
      <c r="F724" s="40"/>
      <c r="G724" s="31">
        <f t="shared" si="207"/>
        <v>3586.24</v>
      </c>
      <c r="H724" s="31">
        <f t="shared" si="207"/>
        <v>1000</v>
      </c>
      <c r="I724" s="31">
        <f t="shared" si="207"/>
        <v>2000</v>
      </c>
    </row>
    <row r="725" spans="1:9" x14ac:dyDescent="0.2">
      <c r="A725" s="39" t="s">
        <v>178</v>
      </c>
      <c r="B725" s="40" t="s">
        <v>581</v>
      </c>
      <c r="C725" s="40" t="s">
        <v>206</v>
      </c>
      <c r="D725" s="40" t="s">
        <v>283</v>
      </c>
      <c r="E725" s="40" t="s">
        <v>189</v>
      </c>
      <c r="F725" s="40"/>
      <c r="G725" s="41">
        <f t="shared" si="207"/>
        <v>3586.24</v>
      </c>
      <c r="H725" s="41">
        <f t="shared" si="207"/>
        <v>1000</v>
      </c>
      <c r="I725" s="41">
        <f t="shared" si="207"/>
        <v>2000</v>
      </c>
    </row>
    <row r="726" spans="1:9" x14ac:dyDescent="0.2">
      <c r="A726" s="29" t="s">
        <v>180</v>
      </c>
      <c r="B726" s="30" t="s">
        <v>581</v>
      </c>
      <c r="C726" s="30" t="s">
        <v>206</v>
      </c>
      <c r="D726" s="30" t="s">
        <v>283</v>
      </c>
      <c r="E726" s="30" t="s">
        <v>190</v>
      </c>
      <c r="F726" s="30"/>
      <c r="G726" s="31">
        <f t="shared" si="207"/>
        <v>3586.24</v>
      </c>
      <c r="H726" s="31">
        <f t="shared" si="207"/>
        <v>1000</v>
      </c>
      <c r="I726" s="31">
        <f t="shared" si="207"/>
        <v>2000</v>
      </c>
    </row>
    <row r="727" spans="1:9" x14ac:dyDescent="0.2">
      <c r="A727" s="29" t="s">
        <v>369</v>
      </c>
      <c r="B727" s="30" t="s">
        <v>581</v>
      </c>
      <c r="C727" s="30" t="s">
        <v>206</v>
      </c>
      <c r="D727" s="30" t="s">
        <v>283</v>
      </c>
      <c r="E727" s="51" t="s">
        <v>370</v>
      </c>
      <c r="F727" s="30"/>
      <c r="G727" s="31">
        <f t="shared" si="207"/>
        <v>3586.24</v>
      </c>
      <c r="H727" s="31">
        <f t="shared" si="207"/>
        <v>1000</v>
      </c>
      <c r="I727" s="31">
        <f t="shared" si="207"/>
        <v>2000</v>
      </c>
    </row>
    <row r="728" spans="1:9" x14ac:dyDescent="0.2">
      <c r="A728" s="68" t="s">
        <v>195</v>
      </c>
      <c r="B728" s="36" t="s">
        <v>581</v>
      </c>
      <c r="C728" s="36" t="s">
        <v>206</v>
      </c>
      <c r="D728" s="36" t="s">
        <v>283</v>
      </c>
      <c r="E728" s="44" t="s">
        <v>370</v>
      </c>
      <c r="F728" s="36" t="s">
        <v>196</v>
      </c>
      <c r="G728" s="37">
        <f t="shared" si="207"/>
        <v>3586.24</v>
      </c>
      <c r="H728" s="37">
        <f t="shared" si="207"/>
        <v>1000</v>
      </c>
      <c r="I728" s="37">
        <f t="shared" si="207"/>
        <v>2000</v>
      </c>
    </row>
    <row r="729" spans="1:9" x14ac:dyDescent="0.2">
      <c r="A729" s="68" t="s">
        <v>197</v>
      </c>
      <c r="B729" s="36" t="s">
        <v>581</v>
      </c>
      <c r="C729" s="36" t="s">
        <v>206</v>
      </c>
      <c r="D729" s="36" t="s">
        <v>283</v>
      </c>
      <c r="E729" s="44" t="s">
        <v>370</v>
      </c>
      <c r="F729" s="36" t="s">
        <v>198</v>
      </c>
      <c r="G729" s="37">
        <f>2000+500+500+86.24+500</f>
        <v>3586.24</v>
      </c>
      <c r="H729" s="37">
        <f>2000-1000</f>
        <v>1000</v>
      </c>
      <c r="I729" s="37">
        <v>2000</v>
      </c>
    </row>
    <row r="730" spans="1:9" ht="31.5" x14ac:dyDescent="0.2">
      <c r="A730" s="200" t="s">
        <v>582</v>
      </c>
      <c r="B730" s="34" t="s">
        <v>583</v>
      </c>
      <c r="C730" s="205"/>
      <c r="D730" s="205"/>
      <c r="E730" s="34"/>
      <c r="F730" s="34"/>
      <c r="G730" s="201">
        <f>G731+G755+G762</f>
        <v>21070.03703</v>
      </c>
      <c r="H730" s="201">
        <f>H731+H755+H762</f>
        <v>15631.5</v>
      </c>
      <c r="I730" s="201">
        <f>I731+I755+I762</f>
        <v>16631.5</v>
      </c>
    </row>
    <row r="731" spans="1:9" x14ac:dyDescent="0.2">
      <c r="A731" s="29" t="s">
        <v>172</v>
      </c>
      <c r="B731" s="30" t="s">
        <v>583</v>
      </c>
      <c r="C731" s="30" t="s">
        <v>173</v>
      </c>
      <c r="D731" s="30" t="s">
        <v>174</v>
      </c>
      <c r="E731" s="30"/>
      <c r="F731" s="30"/>
      <c r="G731" s="31">
        <f>G732+G746</f>
        <v>17366.597030000001</v>
      </c>
      <c r="H731" s="31">
        <f>H732+H746</f>
        <v>14514.3</v>
      </c>
      <c r="I731" s="31">
        <f>I732+I746</f>
        <v>14514.3</v>
      </c>
    </row>
    <row r="732" spans="1:9" ht="24" x14ac:dyDescent="0.2">
      <c r="A732" s="29" t="s">
        <v>175</v>
      </c>
      <c r="B732" s="30" t="s">
        <v>583</v>
      </c>
      <c r="C732" s="30" t="s">
        <v>173</v>
      </c>
      <c r="D732" s="30" t="s">
        <v>177</v>
      </c>
      <c r="E732" s="30"/>
      <c r="F732" s="30"/>
      <c r="G732" s="31">
        <f>G733</f>
        <v>16864.597030000001</v>
      </c>
      <c r="H732" s="31">
        <f t="shared" ref="H732:I733" si="208">H733</f>
        <v>14014.3</v>
      </c>
      <c r="I732" s="31">
        <f t="shared" si="208"/>
        <v>14014.3</v>
      </c>
    </row>
    <row r="733" spans="1:9" x14ac:dyDescent="0.2">
      <c r="A733" s="39" t="s">
        <v>178</v>
      </c>
      <c r="B733" s="40" t="s">
        <v>583</v>
      </c>
      <c r="C733" s="40" t="s">
        <v>173</v>
      </c>
      <c r="D733" s="40" t="s">
        <v>177</v>
      </c>
      <c r="E733" s="40" t="s">
        <v>189</v>
      </c>
      <c r="F733" s="40"/>
      <c r="G733" s="41">
        <f>G734</f>
        <v>16864.597030000001</v>
      </c>
      <c r="H733" s="41">
        <f t="shared" si="208"/>
        <v>14014.3</v>
      </c>
      <c r="I733" s="41">
        <f t="shared" si="208"/>
        <v>14014.3</v>
      </c>
    </row>
    <row r="734" spans="1:9" x14ac:dyDescent="0.2">
      <c r="A734" s="29" t="s">
        <v>180</v>
      </c>
      <c r="B734" s="30" t="s">
        <v>583</v>
      </c>
      <c r="C734" s="30" t="s">
        <v>173</v>
      </c>
      <c r="D734" s="30" t="s">
        <v>177</v>
      </c>
      <c r="E734" s="30" t="s">
        <v>190</v>
      </c>
      <c r="F734" s="30"/>
      <c r="G734" s="31">
        <f>G735+G738+G743</f>
        <v>16864.597030000001</v>
      </c>
      <c r="H734" s="31">
        <f>H735+H738+H743</f>
        <v>14014.3</v>
      </c>
      <c r="I734" s="31">
        <f>I735+I738+I743</f>
        <v>14014.3</v>
      </c>
    </row>
    <row r="735" spans="1:9" x14ac:dyDescent="0.2">
      <c r="A735" s="29" t="s">
        <v>183</v>
      </c>
      <c r="B735" s="30" t="s">
        <v>583</v>
      </c>
      <c r="C735" s="30" t="s">
        <v>173</v>
      </c>
      <c r="D735" s="30" t="s">
        <v>177</v>
      </c>
      <c r="E735" s="30" t="s">
        <v>192</v>
      </c>
      <c r="F735" s="30"/>
      <c r="G735" s="31">
        <f>G736</f>
        <v>14672.999</v>
      </c>
      <c r="H735" s="31">
        <f t="shared" ref="H735:I735" si="209">H736</f>
        <v>12375.4</v>
      </c>
      <c r="I735" s="31">
        <f t="shared" si="209"/>
        <v>12375.4</v>
      </c>
    </row>
    <row r="736" spans="1:9" ht="24" x14ac:dyDescent="0.2">
      <c r="A736" s="35" t="s">
        <v>185</v>
      </c>
      <c r="B736" s="36" t="s">
        <v>583</v>
      </c>
      <c r="C736" s="36" t="s">
        <v>173</v>
      </c>
      <c r="D736" s="36" t="s">
        <v>177</v>
      </c>
      <c r="E736" s="36" t="s">
        <v>192</v>
      </c>
      <c r="F736" s="36" t="s">
        <v>186</v>
      </c>
      <c r="G736" s="37">
        <f t="shared" ref="G736:I736" si="210">G737</f>
        <v>14672.999</v>
      </c>
      <c r="H736" s="37">
        <f t="shared" si="210"/>
        <v>12375.4</v>
      </c>
      <c r="I736" s="37">
        <f t="shared" si="210"/>
        <v>12375.4</v>
      </c>
    </row>
    <row r="737" spans="1:9" x14ac:dyDescent="0.2">
      <c r="A737" s="35" t="s">
        <v>187</v>
      </c>
      <c r="B737" s="36" t="s">
        <v>583</v>
      </c>
      <c r="C737" s="36" t="s">
        <v>173</v>
      </c>
      <c r="D737" s="36" t="s">
        <v>177</v>
      </c>
      <c r="E737" s="36" t="s">
        <v>192</v>
      </c>
      <c r="F737" s="36" t="s">
        <v>188</v>
      </c>
      <c r="G737" s="37">
        <f>12375.4+2297.599</f>
        <v>14672.999</v>
      </c>
      <c r="H737" s="37">
        <v>12375.4</v>
      </c>
      <c r="I737" s="37">
        <v>12375.4</v>
      </c>
    </row>
    <row r="738" spans="1:9" x14ac:dyDescent="0.2">
      <c r="A738" s="29" t="s">
        <v>193</v>
      </c>
      <c r="B738" s="30" t="s">
        <v>583</v>
      </c>
      <c r="C738" s="30" t="s">
        <v>173</v>
      </c>
      <c r="D738" s="30" t="s">
        <v>177</v>
      </c>
      <c r="E738" s="30" t="s">
        <v>194</v>
      </c>
      <c r="F738" s="30"/>
      <c r="G738" s="31">
        <f>G739+G741</f>
        <v>1696.191</v>
      </c>
      <c r="H738" s="31">
        <f>H739+H741</f>
        <v>1638.9</v>
      </c>
      <c r="I738" s="31">
        <f>I739+I741</f>
        <v>1638.9</v>
      </c>
    </row>
    <row r="739" spans="1:9" x14ac:dyDescent="0.2">
      <c r="A739" s="35" t="s">
        <v>195</v>
      </c>
      <c r="B739" s="36" t="s">
        <v>583</v>
      </c>
      <c r="C739" s="36" t="s">
        <v>173</v>
      </c>
      <c r="D739" s="36" t="s">
        <v>177</v>
      </c>
      <c r="E739" s="36" t="s">
        <v>194</v>
      </c>
      <c r="F739" s="36" t="s">
        <v>196</v>
      </c>
      <c r="G739" s="37">
        <f>G740</f>
        <v>1685.691</v>
      </c>
      <c r="H739" s="37">
        <f>H740</f>
        <v>1626.4</v>
      </c>
      <c r="I739" s="37">
        <f>I740</f>
        <v>1626.4</v>
      </c>
    </row>
    <row r="740" spans="1:9" x14ac:dyDescent="0.2">
      <c r="A740" s="35" t="s">
        <v>197</v>
      </c>
      <c r="B740" s="36" t="s">
        <v>583</v>
      </c>
      <c r="C740" s="36" t="s">
        <v>173</v>
      </c>
      <c r="D740" s="36" t="s">
        <v>177</v>
      </c>
      <c r="E740" s="36" t="s">
        <v>194</v>
      </c>
      <c r="F740" s="36" t="s">
        <v>198</v>
      </c>
      <c r="G740" s="37">
        <f>1626.4+59.291</f>
        <v>1685.691</v>
      </c>
      <c r="H740" s="37">
        <v>1626.4</v>
      </c>
      <c r="I740" s="37">
        <v>1626.4</v>
      </c>
    </row>
    <row r="741" spans="1:9" x14ac:dyDescent="0.2">
      <c r="A741" s="35" t="s">
        <v>199</v>
      </c>
      <c r="B741" s="36" t="s">
        <v>583</v>
      </c>
      <c r="C741" s="36" t="s">
        <v>173</v>
      </c>
      <c r="D741" s="36" t="s">
        <v>177</v>
      </c>
      <c r="E741" s="36" t="s">
        <v>194</v>
      </c>
      <c r="F741" s="36" t="s">
        <v>200</v>
      </c>
      <c r="G741" s="37">
        <f>G742</f>
        <v>10.5</v>
      </c>
      <c r="H741" s="37">
        <f>H742</f>
        <v>12.5</v>
      </c>
      <c r="I741" s="37">
        <f>I742</f>
        <v>12.5</v>
      </c>
    </row>
    <row r="742" spans="1:9" x14ac:dyDescent="0.2">
      <c r="A742" s="35" t="s">
        <v>201</v>
      </c>
      <c r="B742" s="36" t="s">
        <v>583</v>
      </c>
      <c r="C742" s="36" t="s">
        <v>173</v>
      </c>
      <c r="D742" s="36" t="s">
        <v>177</v>
      </c>
      <c r="E742" s="36" t="s">
        <v>194</v>
      </c>
      <c r="F742" s="36" t="s">
        <v>202</v>
      </c>
      <c r="G742" s="37">
        <f>12.5-2</f>
        <v>10.5</v>
      </c>
      <c r="H742" s="37">
        <v>12.5</v>
      </c>
      <c r="I742" s="37">
        <v>12.5</v>
      </c>
    </row>
    <row r="743" spans="1:9" x14ac:dyDescent="0.2">
      <c r="A743" s="75" t="s">
        <v>203</v>
      </c>
      <c r="B743" s="74" t="s">
        <v>583</v>
      </c>
      <c r="C743" s="74" t="s">
        <v>173</v>
      </c>
      <c r="D743" s="74" t="s">
        <v>177</v>
      </c>
      <c r="E743" s="74" t="s">
        <v>204</v>
      </c>
      <c r="F743" s="74"/>
      <c r="G743" s="127">
        <f t="shared" ref="G743:H744" si="211">G744</f>
        <v>495.40703000000002</v>
      </c>
      <c r="H743" s="248">
        <f t="shared" si="211"/>
        <v>0</v>
      </c>
      <c r="I743" s="37"/>
    </row>
    <row r="744" spans="1:9" ht="24" x14ac:dyDescent="0.2">
      <c r="A744" s="73" t="s">
        <v>185</v>
      </c>
      <c r="B744" s="12" t="s">
        <v>583</v>
      </c>
      <c r="C744" s="12" t="s">
        <v>173</v>
      </c>
      <c r="D744" s="12" t="s">
        <v>177</v>
      </c>
      <c r="E744" s="12" t="s">
        <v>204</v>
      </c>
      <c r="F744" s="12" t="s">
        <v>186</v>
      </c>
      <c r="G744" s="115">
        <f t="shared" si="211"/>
        <v>495.40703000000002</v>
      </c>
      <c r="H744" s="249">
        <f t="shared" si="211"/>
        <v>0</v>
      </c>
      <c r="I744" s="37"/>
    </row>
    <row r="745" spans="1:9" x14ac:dyDescent="0.2">
      <c r="A745" s="73" t="s">
        <v>187</v>
      </c>
      <c r="B745" s="12" t="s">
        <v>583</v>
      </c>
      <c r="C745" s="12" t="s">
        <v>173</v>
      </c>
      <c r="D745" s="12" t="s">
        <v>177</v>
      </c>
      <c r="E745" s="12" t="s">
        <v>204</v>
      </c>
      <c r="F745" s="12" t="s">
        <v>188</v>
      </c>
      <c r="G745" s="115">
        <v>495.40703000000002</v>
      </c>
      <c r="H745" s="249">
        <v>0</v>
      </c>
      <c r="I745" s="37"/>
    </row>
    <row r="746" spans="1:9" x14ac:dyDescent="0.2">
      <c r="A746" s="57" t="s">
        <v>215</v>
      </c>
      <c r="B746" s="30" t="s">
        <v>583</v>
      </c>
      <c r="C746" s="30" t="s">
        <v>173</v>
      </c>
      <c r="D746" s="30" t="s">
        <v>216</v>
      </c>
      <c r="E746" s="30"/>
      <c r="F746" s="30"/>
      <c r="G746" s="31">
        <f>G747</f>
        <v>502</v>
      </c>
      <c r="H746" s="31">
        <f t="shared" ref="H746:I750" si="212">H747</f>
        <v>500</v>
      </c>
      <c r="I746" s="31">
        <f t="shared" si="212"/>
        <v>500</v>
      </c>
    </row>
    <row r="747" spans="1:9" x14ac:dyDescent="0.2">
      <c r="A747" s="39" t="s">
        <v>178</v>
      </c>
      <c r="B747" s="40" t="s">
        <v>583</v>
      </c>
      <c r="C747" s="40" t="s">
        <v>173</v>
      </c>
      <c r="D747" s="40" t="s">
        <v>216</v>
      </c>
      <c r="E747" s="40" t="s">
        <v>189</v>
      </c>
      <c r="F747" s="36"/>
      <c r="G747" s="206">
        <f>G748</f>
        <v>502</v>
      </c>
      <c r="H747" s="41">
        <f t="shared" si="212"/>
        <v>500</v>
      </c>
      <c r="I747" s="41">
        <f t="shared" si="212"/>
        <v>500</v>
      </c>
    </row>
    <row r="748" spans="1:9" x14ac:dyDescent="0.2">
      <c r="A748" s="29" t="s">
        <v>180</v>
      </c>
      <c r="B748" s="30" t="s">
        <v>583</v>
      </c>
      <c r="C748" s="30" t="s">
        <v>173</v>
      </c>
      <c r="D748" s="30" t="s">
        <v>216</v>
      </c>
      <c r="E748" s="30" t="s">
        <v>190</v>
      </c>
      <c r="F748" s="36"/>
      <c r="G748" s="58">
        <f t="shared" ref="G748" si="213">G749+G752</f>
        <v>502</v>
      </c>
      <c r="H748" s="58">
        <f>H749+H752</f>
        <v>500</v>
      </c>
      <c r="I748" s="58">
        <f>I749+I752</f>
        <v>500</v>
      </c>
    </row>
    <row r="749" spans="1:9" x14ac:dyDescent="0.2">
      <c r="A749" s="29" t="s">
        <v>362</v>
      </c>
      <c r="B749" s="30" t="s">
        <v>583</v>
      </c>
      <c r="C749" s="30" t="s">
        <v>173</v>
      </c>
      <c r="D749" s="30" t="s">
        <v>216</v>
      </c>
      <c r="E749" s="30" t="s">
        <v>363</v>
      </c>
      <c r="F749" s="36"/>
      <c r="G749" s="58">
        <f>G750</f>
        <v>500</v>
      </c>
      <c r="H749" s="31">
        <f>H750</f>
        <v>500</v>
      </c>
      <c r="I749" s="31">
        <f t="shared" si="212"/>
        <v>500</v>
      </c>
    </row>
    <row r="750" spans="1:9" ht="24" x14ac:dyDescent="0.2">
      <c r="A750" s="35" t="s">
        <v>185</v>
      </c>
      <c r="B750" s="36" t="s">
        <v>583</v>
      </c>
      <c r="C750" s="36" t="s">
        <v>173</v>
      </c>
      <c r="D750" s="36" t="s">
        <v>216</v>
      </c>
      <c r="E750" s="36" t="s">
        <v>363</v>
      </c>
      <c r="F750" s="36" t="s">
        <v>186</v>
      </c>
      <c r="G750" s="59">
        <f>G751</f>
        <v>500</v>
      </c>
      <c r="H750" s="37">
        <f t="shared" si="212"/>
        <v>500</v>
      </c>
      <c r="I750" s="37">
        <f t="shared" si="212"/>
        <v>500</v>
      </c>
    </row>
    <row r="751" spans="1:9" x14ac:dyDescent="0.2">
      <c r="A751" s="35" t="s">
        <v>187</v>
      </c>
      <c r="B751" s="36" t="s">
        <v>583</v>
      </c>
      <c r="C751" s="36" t="s">
        <v>173</v>
      </c>
      <c r="D751" s="36" t="s">
        <v>216</v>
      </c>
      <c r="E751" s="36" t="s">
        <v>363</v>
      </c>
      <c r="F751" s="36" t="s">
        <v>188</v>
      </c>
      <c r="G751" s="59">
        <v>500</v>
      </c>
      <c r="H751" s="37">
        <v>500</v>
      </c>
      <c r="I751" s="37">
        <v>500</v>
      </c>
    </row>
    <row r="752" spans="1:9" x14ac:dyDescent="0.2">
      <c r="A752" s="29" t="s">
        <v>270</v>
      </c>
      <c r="B752" s="30" t="s">
        <v>583</v>
      </c>
      <c r="C752" s="30" t="s">
        <v>173</v>
      </c>
      <c r="D752" s="30" t="s">
        <v>216</v>
      </c>
      <c r="E752" s="51" t="s">
        <v>271</v>
      </c>
      <c r="F752" s="30"/>
      <c r="G752" s="45">
        <f t="shared" ref="G752:I753" si="214">G753</f>
        <v>2</v>
      </c>
      <c r="H752" s="45">
        <f t="shared" si="214"/>
        <v>0</v>
      </c>
      <c r="I752" s="45">
        <f t="shared" si="214"/>
        <v>0</v>
      </c>
    </row>
    <row r="753" spans="1:9" x14ac:dyDescent="0.2">
      <c r="A753" s="35" t="s">
        <v>199</v>
      </c>
      <c r="B753" s="36" t="s">
        <v>583</v>
      </c>
      <c r="C753" s="36" t="s">
        <v>173</v>
      </c>
      <c r="D753" s="36" t="s">
        <v>216</v>
      </c>
      <c r="E753" s="44" t="s">
        <v>271</v>
      </c>
      <c r="F753" s="36" t="s">
        <v>200</v>
      </c>
      <c r="G753" s="46">
        <f t="shared" si="214"/>
        <v>2</v>
      </c>
      <c r="H753" s="46">
        <f t="shared" si="214"/>
        <v>0</v>
      </c>
      <c r="I753" s="46">
        <f t="shared" si="214"/>
        <v>0</v>
      </c>
    </row>
    <row r="754" spans="1:9" x14ac:dyDescent="0.2">
      <c r="A754" s="35" t="s">
        <v>272</v>
      </c>
      <c r="B754" s="36" t="s">
        <v>583</v>
      </c>
      <c r="C754" s="36" t="s">
        <v>173</v>
      </c>
      <c r="D754" s="36" t="s">
        <v>216</v>
      </c>
      <c r="E754" s="44" t="s">
        <v>271</v>
      </c>
      <c r="F754" s="36" t="s">
        <v>273</v>
      </c>
      <c r="G754" s="46">
        <v>2</v>
      </c>
      <c r="H754" s="46">
        <v>0</v>
      </c>
      <c r="I754" s="46">
        <v>0</v>
      </c>
    </row>
    <row r="755" spans="1:9" x14ac:dyDescent="0.2">
      <c r="A755" s="29" t="s">
        <v>290</v>
      </c>
      <c r="B755" s="30" t="s">
        <v>583</v>
      </c>
      <c r="C755" s="30" t="s">
        <v>177</v>
      </c>
      <c r="D755" s="30" t="s">
        <v>174</v>
      </c>
      <c r="E755" s="36"/>
      <c r="F755" s="36"/>
      <c r="G755" s="31">
        <f t="shared" ref="G755:I760" si="215">G756</f>
        <v>117.2</v>
      </c>
      <c r="H755" s="58">
        <f t="shared" si="215"/>
        <v>117.2</v>
      </c>
      <c r="I755" s="58">
        <f t="shared" si="215"/>
        <v>117.2</v>
      </c>
    </row>
    <row r="756" spans="1:9" x14ac:dyDescent="0.2">
      <c r="A756" s="29" t="s">
        <v>364</v>
      </c>
      <c r="B756" s="30" t="s">
        <v>583</v>
      </c>
      <c r="C756" s="30" t="s">
        <v>177</v>
      </c>
      <c r="D756" s="30" t="s">
        <v>173</v>
      </c>
      <c r="E756" s="36"/>
      <c r="F756" s="36"/>
      <c r="G756" s="31">
        <f t="shared" si="215"/>
        <v>117.2</v>
      </c>
      <c r="H756" s="58">
        <f t="shared" si="215"/>
        <v>117.2</v>
      </c>
      <c r="I756" s="58">
        <f t="shared" si="215"/>
        <v>117.2</v>
      </c>
    </row>
    <row r="757" spans="1:9" s="192" customFormat="1" x14ac:dyDescent="0.2">
      <c r="A757" s="39" t="s">
        <v>178</v>
      </c>
      <c r="B757" s="40" t="s">
        <v>583</v>
      </c>
      <c r="C757" s="40" t="s">
        <v>177</v>
      </c>
      <c r="D757" s="40" t="s">
        <v>173</v>
      </c>
      <c r="E757" s="40" t="s">
        <v>189</v>
      </c>
      <c r="F757" s="40"/>
      <c r="G757" s="41">
        <f t="shared" si="215"/>
        <v>117.2</v>
      </c>
      <c r="H757" s="206">
        <f t="shared" si="215"/>
        <v>117.2</v>
      </c>
      <c r="I757" s="206">
        <f t="shared" si="215"/>
        <v>117.2</v>
      </c>
    </row>
    <row r="758" spans="1:9" s="192" customFormat="1" x14ac:dyDescent="0.2">
      <c r="A758" s="29" t="s">
        <v>180</v>
      </c>
      <c r="B758" s="30" t="s">
        <v>583</v>
      </c>
      <c r="C758" s="30" t="s">
        <v>177</v>
      </c>
      <c r="D758" s="30" t="s">
        <v>173</v>
      </c>
      <c r="E758" s="30" t="s">
        <v>190</v>
      </c>
      <c r="F758" s="30"/>
      <c r="G758" s="31">
        <f t="shared" si="215"/>
        <v>117.2</v>
      </c>
      <c r="H758" s="58">
        <f t="shared" si="215"/>
        <v>117.2</v>
      </c>
      <c r="I758" s="58">
        <f t="shared" si="215"/>
        <v>117.2</v>
      </c>
    </row>
    <row r="759" spans="1:9" s="192" customFormat="1" x14ac:dyDescent="0.2">
      <c r="A759" s="39" t="s">
        <v>365</v>
      </c>
      <c r="B759" s="40" t="s">
        <v>583</v>
      </c>
      <c r="C759" s="40" t="s">
        <v>177</v>
      </c>
      <c r="D759" s="40" t="s">
        <v>173</v>
      </c>
      <c r="E759" s="40" t="s">
        <v>366</v>
      </c>
      <c r="F759" s="40"/>
      <c r="G759" s="41">
        <f t="shared" si="215"/>
        <v>117.2</v>
      </c>
      <c r="H759" s="206">
        <f t="shared" si="215"/>
        <v>117.2</v>
      </c>
      <c r="I759" s="206">
        <f t="shared" si="215"/>
        <v>117.2</v>
      </c>
    </row>
    <row r="760" spans="1:9" s="192" customFormat="1" ht="24" x14ac:dyDescent="0.2">
      <c r="A760" s="35" t="s">
        <v>185</v>
      </c>
      <c r="B760" s="36" t="s">
        <v>583</v>
      </c>
      <c r="C760" s="36" t="s">
        <v>177</v>
      </c>
      <c r="D760" s="36" t="s">
        <v>173</v>
      </c>
      <c r="E760" s="36" t="s">
        <v>366</v>
      </c>
      <c r="F760" s="36" t="s">
        <v>186</v>
      </c>
      <c r="G760" s="37">
        <f t="shared" si="215"/>
        <v>117.2</v>
      </c>
      <c r="H760" s="59">
        <f t="shared" si="215"/>
        <v>117.2</v>
      </c>
      <c r="I760" s="59">
        <f t="shared" si="215"/>
        <v>117.2</v>
      </c>
    </row>
    <row r="761" spans="1:9" s="192" customFormat="1" x14ac:dyDescent="0.2">
      <c r="A761" s="35" t="s">
        <v>187</v>
      </c>
      <c r="B761" s="36" t="s">
        <v>583</v>
      </c>
      <c r="C761" s="36" t="s">
        <v>177</v>
      </c>
      <c r="D761" s="36" t="s">
        <v>173</v>
      </c>
      <c r="E761" s="36" t="s">
        <v>366</v>
      </c>
      <c r="F761" s="36" t="s">
        <v>188</v>
      </c>
      <c r="G761" s="37">
        <v>117.2</v>
      </c>
      <c r="H761" s="37">
        <v>117.2</v>
      </c>
      <c r="I761" s="37">
        <v>117.2</v>
      </c>
    </row>
    <row r="762" spans="1:9" s="192" customFormat="1" x14ac:dyDescent="0.2">
      <c r="A762" s="29" t="s">
        <v>367</v>
      </c>
      <c r="B762" s="30" t="s">
        <v>583</v>
      </c>
      <c r="C762" s="30" t="s">
        <v>206</v>
      </c>
      <c r="D762" s="30" t="s">
        <v>174</v>
      </c>
      <c r="E762" s="36"/>
      <c r="F762" s="36"/>
      <c r="G762" s="31">
        <f t="shared" ref="G762:I767" si="216">G763</f>
        <v>3586.24</v>
      </c>
      <c r="H762" s="31">
        <f t="shared" si="216"/>
        <v>1000</v>
      </c>
      <c r="I762" s="31">
        <f t="shared" si="216"/>
        <v>2000</v>
      </c>
    </row>
    <row r="763" spans="1:9" x14ac:dyDescent="0.2">
      <c r="A763" s="29" t="s">
        <v>368</v>
      </c>
      <c r="B763" s="30" t="s">
        <v>583</v>
      </c>
      <c r="C763" s="30" t="s">
        <v>206</v>
      </c>
      <c r="D763" s="30" t="s">
        <v>283</v>
      </c>
      <c r="E763" s="40"/>
      <c r="F763" s="40"/>
      <c r="G763" s="31">
        <f t="shared" si="216"/>
        <v>3586.24</v>
      </c>
      <c r="H763" s="31">
        <f t="shared" si="216"/>
        <v>1000</v>
      </c>
      <c r="I763" s="31">
        <f t="shared" si="216"/>
        <v>2000</v>
      </c>
    </row>
    <row r="764" spans="1:9" x14ac:dyDescent="0.2">
      <c r="A764" s="39" t="s">
        <v>178</v>
      </c>
      <c r="B764" s="40" t="s">
        <v>583</v>
      </c>
      <c r="C764" s="40" t="s">
        <v>206</v>
      </c>
      <c r="D764" s="40" t="s">
        <v>283</v>
      </c>
      <c r="E764" s="40" t="s">
        <v>189</v>
      </c>
      <c r="F764" s="40"/>
      <c r="G764" s="41">
        <f t="shared" si="216"/>
        <v>3586.24</v>
      </c>
      <c r="H764" s="41">
        <f t="shared" si="216"/>
        <v>1000</v>
      </c>
      <c r="I764" s="41">
        <f t="shared" si="216"/>
        <v>2000</v>
      </c>
    </row>
    <row r="765" spans="1:9" x14ac:dyDescent="0.2">
      <c r="A765" s="29" t="s">
        <v>180</v>
      </c>
      <c r="B765" s="30" t="s">
        <v>583</v>
      </c>
      <c r="C765" s="30" t="s">
        <v>206</v>
      </c>
      <c r="D765" s="30" t="s">
        <v>283</v>
      </c>
      <c r="E765" s="30" t="s">
        <v>190</v>
      </c>
      <c r="F765" s="30"/>
      <c r="G765" s="31">
        <f t="shared" si="216"/>
        <v>3586.24</v>
      </c>
      <c r="H765" s="31">
        <f t="shared" si="216"/>
        <v>1000</v>
      </c>
      <c r="I765" s="31">
        <f t="shared" si="216"/>
        <v>2000</v>
      </c>
    </row>
    <row r="766" spans="1:9" x14ac:dyDescent="0.2">
      <c r="A766" s="29" t="s">
        <v>369</v>
      </c>
      <c r="B766" s="30" t="s">
        <v>583</v>
      </c>
      <c r="C766" s="30" t="s">
        <v>206</v>
      </c>
      <c r="D766" s="30" t="s">
        <v>283</v>
      </c>
      <c r="E766" s="51" t="s">
        <v>370</v>
      </c>
      <c r="F766" s="30"/>
      <c r="G766" s="31">
        <f t="shared" si="216"/>
        <v>3586.24</v>
      </c>
      <c r="H766" s="31">
        <f t="shared" si="216"/>
        <v>1000</v>
      </c>
      <c r="I766" s="31">
        <f t="shared" si="216"/>
        <v>2000</v>
      </c>
    </row>
    <row r="767" spans="1:9" x14ac:dyDescent="0.2">
      <c r="A767" s="68" t="s">
        <v>195</v>
      </c>
      <c r="B767" s="36" t="s">
        <v>583</v>
      </c>
      <c r="C767" s="36" t="s">
        <v>206</v>
      </c>
      <c r="D767" s="36" t="s">
        <v>283</v>
      </c>
      <c r="E767" s="44" t="s">
        <v>370</v>
      </c>
      <c r="F767" s="36" t="s">
        <v>196</v>
      </c>
      <c r="G767" s="37">
        <f t="shared" si="216"/>
        <v>3586.24</v>
      </c>
      <c r="H767" s="37">
        <f t="shared" si="216"/>
        <v>1000</v>
      </c>
      <c r="I767" s="37">
        <f t="shared" si="216"/>
        <v>2000</v>
      </c>
    </row>
    <row r="768" spans="1:9" x14ac:dyDescent="0.2">
      <c r="A768" s="68" t="s">
        <v>197</v>
      </c>
      <c r="B768" s="36" t="s">
        <v>583</v>
      </c>
      <c r="C768" s="36" t="s">
        <v>206</v>
      </c>
      <c r="D768" s="36" t="s">
        <v>283</v>
      </c>
      <c r="E768" s="44" t="s">
        <v>370</v>
      </c>
      <c r="F768" s="36" t="s">
        <v>198</v>
      </c>
      <c r="G768" s="37">
        <f>2000+500+500+86.24+500</f>
        <v>3586.24</v>
      </c>
      <c r="H768" s="37">
        <f>2000-1000</f>
        <v>1000</v>
      </c>
      <c r="I768" s="37">
        <v>2000</v>
      </c>
    </row>
    <row r="769" spans="1:9" ht="31.5" x14ac:dyDescent="0.2">
      <c r="A769" s="200" t="s">
        <v>584</v>
      </c>
      <c r="B769" s="34" t="s">
        <v>585</v>
      </c>
      <c r="C769" s="205"/>
      <c r="D769" s="205"/>
      <c r="E769" s="40"/>
      <c r="F769" s="34"/>
      <c r="G769" s="201">
        <f>G777+G794+G770</f>
        <v>778732.38867000001</v>
      </c>
      <c r="H769" s="201">
        <f>H777+H794+H770</f>
        <v>480056</v>
      </c>
      <c r="I769" s="201">
        <f>I777+I794+I770</f>
        <v>297784.59999999998</v>
      </c>
    </row>
    <row r="770" spans="1:9" ht="15.75" x14ac:dyDescent="0.2">
      <c r="A770" s="29" t="s">
        <v>172</v>
      </c>
      <c r="B770" s="30" t="s">
        <v>585</v>
      </c>
      <c r="C770" s="30" t="s">
        <v>173</v>
      </c>
      <c r="D770" s="30" t="s">
        <v>174</v>
      </c>
      <c r="E770" s="40"/>
      <c r="F770" s="34"/>
      <c r="G770" s="31">
        <f t="shared" ref="G770:I775" si="217">G771</f>
        <v>1200</v>
      </c>
      <c r="H770" s="45">
        <f t="shared" si="217"/>
        <v>0</v>
      </c>
      <c r="I770" s="45">
        <f t="shared" si="217"/>
        <v>0</v>
      </c>
    </row>
    <row r="771" spans="1:9" x14ac:dyDescent="0.2">
      <c r="A771" s="29" t="s">
        <v>215</v>
      </c>
      <c r="B771" s="30" t="s">
        <v>585</v>
      </c>
      <c r="C771" s="30" t="s">
        <v>173</v>
      </c>
      <c r="D771" s="30" t="s">
        <v>216</v>
      </c>
      <c r="E771" s="30"/>
      <c r="F771" s="30"/>
      <c r="G771" s="31">
        <f t="shared" si="217"/>
        <v>1200</v>
      </c>
      <c r="H771" s="45">
        <f t="shared" si="217"/>
        <v>0</v>
      </c>
      <c r="I771" s="45">
        <f t="shared" si="217"/>
        <v>0</v>
      </c>
    </row>
    <row r="772" spans="1:9" x14ac:dyDescent="0.2">
      <c r="A772" s="39" t="s">
        <v>178</v>
      </c>
      <c r="B772" s="40" t="s">
        <v>585</v>
      </c>
      <c r="C772" s="40" t="s">
        <v>173</v>
      </c>
      <c r="D772" s="40" t="s">
        <v>216</v>
      </c>
      <c r="E772" s="40" t="s">
        <v>189</v>
      </c>
      <c r="F772" s="40"/>
      <c r="G772" s="41">
        <f t="shared" si="217"/>
        <v>1200</v>
      </c>
      <c r="H772" s="47">
        <f t="shared" si="217"/>
        <v>0</v>
      </c>
      <c r="I772" s="47">
        <f t="shared" si="217"/>
        <v>0</v>
      </c>
    </row>
    <row r="773" spans="1:9" x14ac:dyDescent="0.2">
      <c r="A773" s="29" t="s">
        <v>180</v>
      </c>
      <c r="B773" s="30" t="s">
        <v>585</v>
      </c>
      <c r="C773" s="30" t="s">
        <v>173</v>
      </c>
      <c r="D773" s="30" t="s">
        <v>216</v>
      </c>
      <c r="E773" s="30" t="s">
        <v>190</v>
      </c>
      <c r="F773" s="55"/>
      <c r="G773" s="31">
        <f t="shared" si="217"/>
        <v>1200</v>
      </c>
      <c r="H773" s="45">
        <f t="shared" si="217"/>
        <v>0</v>
      </c>
      <c r="I773" s="45">
        <f t="shared" si="217"/>
        <v>0</v>
      </c>
    </row>
    <row r="774" spans="1:9" x14ac:dyDescent="0.2">
      <c r="A774" s="39" t="s">
        <v>270</v>
      </c>
      <c r="B774" s="40" t="s">
        <v>585</v>
      </c>
      <c r="C774" s="40" t="s">
        <v>173</v>
      </c>
      <c r="D774" s="40" t="s">
        <v>216</v>
      </c>
      <c r="E774" s="43" t="s">
        <v>271</v>
      </c>
      <c r="F774" s="40"/>
      <c r="G774" s="41">
        <f t="shared" si="217"/>
        <v>1200</v>
      </c>
      <c r="H774" s="47">
        <f t="shared" si="217"/>
        <v>0</v>
      </c>
      <c r="I774" s="47">
        <f t="shared" si="217"/>
        <v>0</v>
      </c>
    </row>
    <row r="775" spans="1:9" x14ac:dyDescent="0.2">
      <c r="A775" s="35" t="s">
        <v>199</v>
      </c>
      <c r="B775" s="36" t="s">
        <v>585</v>
      </c>
      <c r="C775" s="36" t="s">
        <v>173</v>
      </c>
      <c r="D775" s="36" t="s">
        <v>216</v>
      </c>
      <c r="E775" s="44" t="s">
        <v>271</v>
      </c>
      <c r="F775" s="36" t="s">
        <v>200</v>
      </c>
      <c r="G775" s="37">
        <f t="shared" si="217"/>
        <v>1200</v>
      </c>
      <c r="H775" s="46">
        <f t="shared" si="217"/>
        <v>0</v>
      </c>
      <c r="I775" s="46">
        <f t="shared" si="217"/>
        <v>0</v>
      </c>
    </row>
    <row r="776" spans="1:9" x14ac:dyDescent="0.2">
      <c r="A776" s="35" t="s">
        <v>272</v>
      </c>
      <c r="B776" s="36" t="s">
        <v>585</v>
      </c>
      <c r="C776" s="36" t="s">
        <v>173</v>
      </c>
      <c r="D776" s="36" t="s">
        <v>216</v>
      </c>
      <c r="E776" s="44" t="s">
        <v>271</v>
      </c>
      <c r="F776" s="36" t="s">
        <v>273</v>
      </c>
      <c r="G776" s="37">
        <v>1200</v>
      </c>
      <c r="H776" s="46">
        <v>0</v>
      </c>
      <c r="I776" s="46">
        <v>0</v>
      </c>
    </row>
    <row r="777" spans="1:9" x14ac:dyDescent="0.2">
      <c r="A777" s="29" t="s">
        <v>290</v>
      </c>
      <c r="B777" s="30" t="s">
        <v>585</v>
      </c>
      <c r="C777" s="30" t="s">
        <v>177</v>
      </c>
      <c r="D777" s="30" t="s">
        <v>174</v>
      </c>
      <c r="E777" s="40"/>
      <c r="F777" s="40"/>
      <c r="G777" s="31">
        <f>G778+G788</f>
        <v>13774</v>
      </c>
      <c r="H777" s="31">
        <f>H778+H788</f>
        <v>10871</v>
      </c>
      <c r="I777" s="31">
        <f>I778+I788</f>
        <v>10871</v>
      </c>
    </row>
    <row r="778" spans="1:9" x14ac:dyDescent="0.2">
      <c r="A778" s="29" t="s">
        <v>550</v>
      </c>
      <c r="B778" s="30" t="s">
        <v>585</v>
      </c>
      <c r="C778" s="30" t="s">
        <v>177</v>
      </c>
      <c r="D778" s="30" t="s">
        <v>206</v>
      </c>
      <c r="E778" s="40"/>
      <c r="F778" s="40"/>
      <c r="G778" s="45">
        <f>G779</f>
        <v>10000</v>
      </c>
      <c r="H778" s="45">
        <f t="shared" ref="H778:I780" si="218">H779</f>
        <v>2871</v>
      </c>
      <c r="I778" s="45">
        <f t="shared" si="218"/>
        <v>2871</v>
      </c>
    </row>
    <row r="779" spans="1:9" ht="27" x14ac:dyDescent="0.2">
      <c r="A779" s="38" t="s">
        <v>586</v>
      </c>
      <c r="B779" s="32" t="s">
        <v>585</v>
      </c>
      <c r="C779" s="32" t="s">
        <v>177</v>
      </c>
      <c r="D779" s="32" t="s">
        <v>206</v>
      </c>
      <c r="E779" s="32" t="s">
        <v>587</v>
      </c>
      <c r="F779" s="32"/>
      <c r="G779" s="61">
        <f>G780</f>
        <v>10000</v>
      </c>
      <c r="H779" s="61">
        <f t="shared" si="218"/>
        <v>2871</v>
      </c>
      <c r="I779" s="61">
        <f t="shared" si="218"/>
        <v>2871</v>
      </c>
    </row>
    <row r="780" spans="1:9" x14ac:dyDescent="0.2">
      <c r="A780" s="29" t="s">
        <v>588</v>
      </c>
      <c r="B780" s="30" t="s">
        <v>589</v>
      </c>
      <c r="C780" s="30" t="s">
        <v>177</v>
      </c>
      <c r="D780" s="30" t="s">
        <v>206</v>
      </c>
      <c r="E780" s="30" t="s">
        <v>590</v>
      </c>
      <c r="F780" s="40"/>
      <c r="G780" s="45">
        <f>G781</f>
        <v>10000</v>
      </c>
      <c r="H780" s="45">
        <f t="shared" si="218"/>
        <v>2871</v>
      </c>
      <c r="I780" s="45">
        <f t="shared" si="218"/>
        <v>2871</v>
      </c>
    </row>
    <row r="781" spans="1:9" x14ac:dyDescent="0.2">
      <c r="A781" s="39" t="s">
        <v>591</v>
      </c>
      <c r="B781" s="40" t="s">
        <v>585</v>
      </c>
      <c r="C781" s="40" t="s">
        <v>177</v>
      </c>
      <c r="D781" s="40" t="s">
        <v>206</v>
      </c>
      <c r="E781" s="40" t="s">
        <v>592</v>
      </c>
      <c r="F781" s="40"/>
      <c r="G781" s="47">
        <f>G782+G784+G786</f>
        <v>10000</v>
      </c>
      <c r="H781" s="47">
        <f>H782+H784+H786</f>
        <v>2871</v>
      </c>
      <c r="I781" s="47">
        <f>I782+I784+I786</f>
        <v>2871</v>
      </c>
    </row>
    <row r="782" spans="1:9" ht="24" x14ac:dyDescent="0.2">
      <c r="A782" s="35" t="s">
        <v>185</v>
      </c>
      <c r="B782" s="36" t="s">
        <v>585</v>
      </c>
      <c r="C782" s="36" t="s">
        <v>177</v>
      </c>
      <c r="D782" s="36" t="s">
        <v>206</v>
      </c>
      <c r="E782" s="36" t="s">
        <v>592</v>
      </c>
      <c r="F782" s="36" t="s">
        <v>186</v>
      </c>
      <c r="G782" s="46">
        <f>G783</f>
        <v>5931.3</v>
      </c>
      <c r="H782" s="46">
        <f t="shared" ref="H782:I782" si="219">H783</f>
        <v>1851</v>
      </c>
      <c r="I782" s="46">
        <f t="shared" si="219"/>
        <v>1851</v>
      </c>
    </row>
    <row r="783" spans="1:9" x14ac:dyDescent="0.2">
      <c r="A783" s="35" t="s">
        <v>266</v>
      </c>
      <c r="B783" s="36" t="s">
        <v>585</v>
      </c>
      <c r="C783" s="36" t="s">
        <v>177</v>
      </c>
      <c r="D783" s="36" t="s">
        <v>206</v>
      </c>
      <c r="E783" s="36" t="s">
        <v>592</v>
      </c>
      <c r="F783" s="36" t="s">
        <v>267</v>
      </c>
      <c r="G783" s="46">
        <v>5931.3</v>
      </c>
      <c r="H783" s="46">
        <v>1851</v>
      </c>
      <c r="I783" s="46">
        <v>1851</v>
      </c>
    </row>
    <row r="784" spans="1:9" x14ac:dyDescent="0.2">
      <c r="A784" s="35" t="s">
        <v>195</v>
      </c>
      <c r="B784" s="36" t="s">
        <v>585</v>
      </c>
      <c r="C784" s="36" t="s">
        <v>177</v>
      </c>
      <c r="D784" s="36" t="s">
        <v>206</v>
      </c>
      <c r="E784" s="36" t="s">
        <v>592</v>
      </c>
      <c r="F784" s="36" t="s">
        <v>196</v>
      </c>
      <c r="G784" s="46">
        <f>G785</f>
        <v>4033.7000000000007</v>
      </c>
      <c r="H784" s="46">
        <f t="shared" ref="H784:I784" si="220">H785</f>
        <v>1000</v>
      </c>
      <c r="I784" s="46">
        <f t="shared" si="220"/>
        <v>1000</v>
      </c>
    </row>
    <row r="785" spans="1:9" x14ac:dyDescent="0.2">
      <c r="A785" s="35" t="s">
        <v>197</v>
      </c>
      <c r="B785" s="36" t="s">
        <v>585</v>
      </c>
      <c r="C785" s="36" t="s">
        <v>177</v>
      </c>
      <c r="D785" s="36" t="s">
        <v>206</v>
      </c>
      <c r="E785" s="36" t="s">
        <v>592</v>
      </c>
      <c r="F785" s="36" t="s">
        <v>198</v>
      </c>
      <c r="G785" s="46">
        <f>9033.7-5000</f>
        <v>4033.7000000000007</v>
      </c>
      <c r="H785" s="46">
        <v>1000</v>
      </c>
      <c r="I785" s="46">
        <v>1000</v>
      </c>
    </row>
    <row r="786" spans="1:9" x14ac:dyDescent="0.2">
      <c r="A786" s="35" t="s">
        <v>199</v>
      </c>
      <c r="B786" s="36" t="s">
        <v>585</v>
      </c>
      <c r="C786" s="36" t="s">
        <v>177</v>
      </c>
      <c r="D786" s="36" t="s">
        <v>206</v>
      </c>
      <c r="E786" s="36" t="s">
        <v>592</v>
      </c>
      <c r="F786" s="36" t="s">
        <v>200</v>
      </c>
      <c r="G786" s="46">
        <f>G787</f>
        <v>35</v>
      </c>
      <c r="H786" s="46">
        <f t="shared" ref="H786:I786" si="221">H787</f>
        <v>20</v>
      </c>
      <c r="I786" s="46">
        <f t="shared" si="221"/>
        <v>20</v>
      </c>
    </row>
    <row r="787" spans="1:9" x14ac:dyDescent="0.2">
      <c r="A787" s="35" t="s">
        <v>201</v>
      </c>
      <c r="B787" s="36" t="s">
        <v>585</v>
      </c>
      <c r="C787" s="36" t="s">
        <v>177</v>
      </c>
      <c r="D787" s="36" t="s">
        <v>206</v>
      </c>
      <c r="E787" s="36" t="s">
        <v>592</v>
      </c>
      <c r="F787" s="36" t="s">
        <v>202</v>
      </c>
      <c r="G787" s="46">
        <v>35</v>
      </c>
      <c r="H787" s="46">
        <v>20</v>
      </c>
      <c r="I787" s="46">
        <v>20</v>
      </c>
    </row>
    <row r="788" spans="1:9" x14ac:dyDescent="0.2">
      <c r="A788" s="29" t="s">
        <v>291</v>
      </c>
      <c r="B788" s="30" t="s">
        <v>585</v>
      </c>
      <c r="C788" s="30" t="s">
        <v>177</v>
      </c>
      <c r="D788" s="30" t="s">
        <v>292</v>
      </c>
      <c r="E788" s="40"/>
      <c r="F788" s="40"/>
      <c r="G788" s="31">
        <f>G789</f>
        <v>3774</v>
      </c>
      <c r="H788" s="31">
        <f t="shared" ref="H788:I792" si="222">H789</f>
        <v>8000</v>
      </c>
      <c r="I788" s="31">
        <f t="shared" si="222"/>
        <v>8000</v>
      </c>
    </row>
    <row r="789" spans="1:9" ht="27" x14ac:dyDescent="0.2">
      <c r="A789" s="38" t="s">
        <v>586</v>
      </c>
      <c r="B789" s="32" t="s">
        <v>585</v>
      </c>
      <c r="C789" s="32" t="s">
        <v>177</v>
      </c>
      <c r="D789" s="32" t="s">
        <v>292</v>
      </c>
      <c r="E789" s="32" t="s">
        <v>587</v>
      </c>
      <c r="F789" s="32"/>
      <c r="G789" s="33">
        <f>G790</f>
        <v>3774</v>
      </c>
      <c r="H789" s="33">
        <f t="shared" si="222"/>
        <v>8000</v>
      </c>
      <c r="I789" s="33">
        <f t="shared" si="222"/>
        <v>8000</v>
      </c>
    </row>
    <row r="790" spans="1:9" x14ac:dyDescent="0.2">
      <c r="A790" s="29" t="s">
        <v>593</v>
      </c>
      <c r="B790" s="30" t="s">
        <v>585</v>
      </c>
      <c r="C790" s="30" t="s">
        <v>177</v>
      </c>
      <c r="D790" s="30" t="s">
        <v>292</v>
      </c>
      <c r="E790" s="30" t="s">
        <v>594</v>
      </c>
      <c r="F790" s="36"/>
      <c r="G790" s="31">
        <f>G791</f>
        <v>3774</v>
      </c>
      <c r="H790" s="31">
        <f t="shared" si="222"/>
        <v>8000</v>
      </c>
      <c r="I790" s="31">
        <f t="shared" si="222"/>
        <v>8000</v>
      </c>
    </row>
    <row r="791" spans="1:9" x14ac:dyDescent="0.2">
      <c r="A791" s="39" t="s">
        <v>595</v>
      </c>
      <c r="B791" s="40" t="s">
        <v>585</v>
      </c>
      <c r="C791" s="40" t="s">
        <v>177</v>
      </c>
      <c r="D791" s="40" t="s">
        <v>292</v>
      </c>
      <c r="E791" s="40" t="s">
        <v>596</v>
      </c>
      <c r="F791" s="49"/>
      <c r="G791" s="41">
        <f>G792</f>
        <v>3774</v>
      </c>
      <c r="H791" s="41">
        <f t="shared" si="222"/>
        <v>8000</v>
      </c>
      <c r="I791" s="41">
        <f t="shared" si="222"/>
        <v>8000</v>
      </c>
    </row>
    <row r="792" spans="1:9" x14ac:dyDescent="0.2">
      <c r="A792" s="35" t="s">
        <v>195</v>
      </c>
      <c r="B792" s="36" t="s">
        <v>585</v>
      </c>
      <c r="C792" s="36" t="s">
        <v>177</v>
      </c>
      <c r="D792" s="36" t="s">
        <v>292</v>
      </c>
      <c r="E792" s="36" t="s">
        <v>596</v>
      </c>
      <c r="F792" s="36" t="s">
        <v>196</v>
      </c>
      <c r="G792" s="37">
        <f>G793</f>
        <v>3774</v>
      </c>
      <c r="H792" s="37">
        <f t="shared" si="222"/>
        <v>8000</v>
      </c>
      <c r="I792" s="37">
        <f t="shared" si="222"/>
        <v>8000</v>
      </c>
    </row>
    <row r="793" spans="1:9" x14ac:dyDescent="0.2">
      <c r="A793" s="35" t="s">
        <v>197</v>
      </c>
      <c r="B793" s="36" t="s">
        <v>585</v>
      </c>
      <c r="C793" s="36" t="s">
        <v>177</v>
      </c>
      <c r="D793" s="36" t="s">
        <v>292</v>
      </c>
      <c r="E793" s="36" t="s">
        <v>596</v>
      </c>
      <c r="F793" s="36" t="s">
        <v>198</v>
      </c>
      <c r="G793" s="37">
        <v>3774</v>
      </c>
      <c r="H793" s="37">
        <v>8000</v>
      </c>
      <c r="I793" s="37">
        <v>8000</v>
      </c>
    </row>
    <row r="794" spans="1:9" x14ac:dyDescent="0.2">
      <c r="A794" s="29" t="s">
        <v>367</v>
      </c>
      <c r="B794" s="30" t="s">
        <v>585</v>
      </c>
      <c r="C794" s="30" t="s">
        <v>206</v>
      </c>
      <c r="D794" s="30" t="s">
        <v>174</v>
      </c>
      <c r="E794" s="30"/>
      <c r="F794" s="30"/>
      <c r="G794" s="31">
        <f>G795+G831+G862+G871</f>
        <v>763758.38867000001</v>
      </c>
      <c r="H794" s="31">
        <f>H795+H831+H862+H871</f>
        <v>469185</v>
      </c>
      <c r="I794" s="31">
        <f>I795+I831+I862+I871</f>
        <v>286913.59999999998</v>
      </c>
    </row>
    <row r="795" spans="1:9" x14ac:dyDescent="0.2">
      <c r="A795" s="29" t="s">
        <v>561</v>
      </c>
      <c r="B795" s="30" t="s">
        <v>585</v>
      </c>
      <c r="C795" s="30" t="s">
        <v>206</v>
      </c>
      <c r="D795" s="30" t="s">
        <v>173</v>
      </c>
      <c r="E795" s="40"/>
      <c r="F795" s="40"/>
      <c r="G795" s="31">
        <f t="shared" ref="G795:I795" si="223">G796+G824</f>
        <v>520255.71953</v>
      </c>
      <c r="H795" s="31">
        <f t="shared" si="223"/>
        <v>37700</v>
      </c>
      <c r="I795" s="31">
        <f t="shared" si="223"/>
        <v>47200</v>
      </c>
    </row>
    <row r="796" spans="1:9" ht="27" x14ac:dyDescent="0.2">
      <c r="A796" s="38" t="s">
        <v>586</v>
      </c>
      <c r="B796" s="32" t="s">
        <v>585</v>
      </c>
      <c r="C796" s="32" t="s">
        <v>206</v>
      </c>
      <c r="D796" s="32" t="s">
        <v>173</v>
      </c>
      <c r="E796" s="32" t="s">
        <v>587</v>
      </c>
      <c r="F796" s="40"/>
      <c r="G796" s="33">
        <f>G797+G801+G808</f>
        <v>101270.41953000001</v>
      </c>
      <c r="H796" s="33">
        <f>H797+H801+H808</f>
        <v>37700</v>
      </c>
      <c r="I796" s="33">
        <f>I797+I801+I808</f>
        <v>47200</v>
      </c>
    </row>
    <row r="797" spans="1:9" x14ac:dyDescent="0.2">
      <c r="A797" s="39" t="s">
        <v>597</v>
      </c>
      <c r="B797" s="40" t="s">
        <v>585</v>
      </c>
      <c r="C797" s="40" t="s">
        <v>206</v>
      </c>
      <c r="D797" s="40" t="s">
        <v>173</v>
      </c>
      <c r="E797" s="40" t="s">
        <v>598</v>
      </c>
      <c r="F797" s="40"/>
      <c r="G797" s="41">
        <f>G798</f>
        <v>1500</v>
      </c>
      <c r="H797" s="41">
        <f t="shared" ref="H797:I799" si="224">H798</f>
        <v>1500</v>
      </c>
      <c r="I797" s="41">
        <f t="shared" si="224"/>
        <v>1000</v>
      </c>
    </row>
    <row r="798" spans="1:9" x14ac:dyDescent="0.2">
      <c r="A798" s="29" t="s">
        <v>599</v>
      </c>
      <c r="B798" s="30" t="s">
        <v>585</v>
      </c>
      <c r="C798" s="30" t="s">
        <v>206</v>
      </c>
      <c r="D798" s="30" t="s">
        <v>173</v>
      </c>
      <c r="E798" s="30" t="s">
        <v>600</v>
      </c>
      <c r="F798" s="30"/>
      <c r="G798" s="31">
        <f>G799</f>
        <v>1500</v>
      </c>
      <c r="H798" s="31">
        <f t="shared" si="224"/>
        <v>1500</v>
      </c>
      <c r="I798" s="31">
        <f t="shared" si="224"/>
        <v>1000</v>
      </c>
    </row>
    <row r="799" spans="1:9" x14ac:dyDescent="0.2">
      <c r="A799" s="35" t="s">
        <v>195</v>
      </c>
      <c r="B799" s="36" t="s">
        <v>585</v>
      </c>
      <c r="C799" s="36" t="s">
        <v>206</v>
      </c>
      <c r="D799" s="36" t="s">
        <v>173</v>
      </c>
      <c r="E799" s="36" t="s">
        <v>600</v>
      </c>
      <c r="F799" s="36" t="s">
        <v>196</v>
      </c>
      <c r="G799" s="37">
        <f>G800</f>
        <v>1500</v>
      </c>
      <c r="H799" s="37">
        <f t="shared" si="224"/>
        <v>1500</v>
      </c>
      <c r="I799" s="37">
        <f t="shared" si="224"/>
        <v>1000</v>
      </c>
    </row>
    <row r="800" spans="1:9" x14ac:dyDescent="0.2">
      <c r="A800" s="35" t="s">
        <v>197</v>
      </c>
      <c r="B800" s="36" t="s">
        <v>585</v>
      </c>
      <c r="C800" s="36" t="s">
        <v>206</v>
      </c>
      <c r="D800" s="36" t="s">
        <v>173</v>
      </c>
      <c r="E800" s="36" t="s">
        <v>600</v>
      </c>
      <c r="F800" s="36" t="s">
        <v>198</v>
      </c>
      <c r="G800" s="37">
        <v>1500</v>
      </c>
      <c r="H800" s="37">
        <v>1500</v>
      </c>
      <c r="I800" s="37">
        <v>1000</v>
      </c>
    </row>
    <row r="801" spans="1:9" x14ac:dyDescent="0.2">
      <c r="A801" s="39" t="s">
        <v>601</v>
      </c>
      <c r="B801" s="40" t="s">
        <v>589</v>
      </c>
      <c r="C801" s="40" t="s">
        <v>206</v>
      </c>
      <c r="D801" s="40" t="s">
        <v>173</v>
      </c>
      <c r="E801" s="40" t="s">
        <v>602</v>
      </c>
      <c r="F801" s="49"/>
      <c r="G801" s="41">
        <f>G802+G805</f>
        <v>12150</v>
      </c>
      <c r="H801" s="41">
        <f>H802+H805</f>
        <v>500</v>
      </c>
      <c r="I801" s="41">
        <f>I802+I805</f>
        <v>10500</v>
      </c>
    </row>
    <row r="802" spans="1:9" ht="24" x14ac:dyDescent="0.2">
      <c r="A802" s="50" t="s">
        <v>603</v>
      </c>
      <c r="B802" s="30" t="s">
        <v>589</v>
      </c>
      <c r="C802" s="30" t="s">
        <v>206</v>
      </c>
      <c r="D802" s="30" t="s">
        <v>173</v>
      </c>
      <c r="E802" s="30" t="s">
        <v>604</v>
      </c>
      <c r="F802" s="30"/>
      <c r="G802" s="31">
        <f>G803</f>
        <v>1600</v>
      </c>
      <c r="H802" s="31">
        <f t="shared" ref="H802:I803" si="225">H803</f>
        <v>500</v>
      </c>
      <c r="I802" s="31">
        <f t="shared" si="225"/>
        <v>500</v>
      </c>
    </row>
    <row r="803" spans="1:9" x14ac:dyDescent="0.2">
      <c r="A803" s="35" t="s">
        <v>195</v>
      </c>
      <c r="B803" s="36" t="s">
        <v>585</v>
      </c>
      <c r="C803" s="36" t="s">
        <v>206</v>
      </c>
      <c r="D803" s="36" t="s">
        <v>173</v>
      </c>
      <c r="E803" s="36" t="s">
        <v>604</v>
      </c>
      <c r="F803" s="36" t="s">
        <v>196</v>
      </c>
      <c r="G803" s="37">
        <f>G804</f>
        <v>1600</v>
      </c>
      <c r="H803" s="37">
        <f t="shared" si="225"/>
        <v>500</v>
      </c>
      <c r="I803" s="37">
        <f t="shared" si="225"/>
        <v>500</v>
      </c>
    </row>
    <row r="804" spans="1:9" x14ac:dyDescent="0.2">
      <c r="A804" s="35" t="s">
        <v>197</v>
      </c>
      <c r="B804" s="36" t="s">
        <v>585</v>
      </c>
      <c r="C804" s="36" t="s">
        <v>206</v>
      </c>
      <c r="D804" s="36" t="s">
        <v>173</v>
      </c>
      <c r="E804" s="36" t="s">
        <v>604</v>
      </c>
      <c r="F804" s="36" t="s">
        <v>198</v>
      </c>
      <c r="G804" s="37">
        <f>1400+200</f>
        <v>1600</v>
      </c>
      <c r="H804" s="37">
        <v>500</v>
      </c>
      <c r="I804" s="37">
        <v>500</v>
      </c>
    </row>
    <row r="805" spans="1:9" x14ac:dyDescent="0.2">
      <c r="A805" s="50" t="s">
        <v>605</v>
      </c>
      <c r="B805" s="30" t="s">
        <v>589</v>
      </c>
      <c r="C805" s="30" t="s">
        <v>206</v>
      </c>
      <c r="D805" s="30" t="s">
        <v>173</v>
      </c>
      <c r="E805" s="210" t="s">
        <v>606</v>
      </c>
      <c r="F805" s="30"/>
      <c r="G805" s="31">
        <f>G806</f>
        <v>10550</v>
      </c>
      <c r="H805" s="45">
        <f t="shared" ref="H805:I806" si="226">H806</f>
        <v>0</v>
      </c>
      <c r="I805" s="31">
        <f t="shared" si="226"/>
        <v>10000</v>
      </c>
    </row>
    <row r="806" spans="1:9" x14ac:dyDescent="0.2">
      <c r="A806" s="35" t="s">
        <v>195</v>
      </c>
      <c r="B806" s="36" t="s">
        <v>585</v>
      </c>
      <c r="C806" s="36" t="s">
        <v>206</v>
      </c>
      <c r="D806" s="36" t="s">
        <v>173</v>
      </c>
      <c r="E806" s="36" t="s">
        <v>606</v>
      </c>
      <c r="F806" s="36" t="s">
        <v>196</v>
      </c>
      <c r="G806" s="37">
        <f>G807</f>
        <v>10550</v>
      </c>
      <c r="H806" s="46">
        <f t="shared" si="226"/>
        <v>0</v>
      </c>
      <c r="I806" s="37">
        <f t="shared" si="226"/>
        <v>10000</v>
      </c>
    </row>
    <row r="807" spans="1:9" x14ac:dyDescent="0.2">
      <c r="A807" s="35" t="s">
        <v>197</v>
      </c>
      <c r="B807" s="36" t="s">
        <v>585</v>
      </c>
      <c r="C807" s="36" t="s">
        <v>206</v>
      </c>
      <c r="D807" s="36" t="s">
        <v>173</v>
      </c>
      <c r="E807" s="36" t="s">
        <v>606</v>
      </c>
      <c r="F807" s="36" t="s">
        <v>198</v>
      </c>
      <c r="G807" s="37">
        <f>14550-4000</f>
        <v>10550</v>
      </c>
      <c r="H807" s="46">
        <f>10000-10000</f>
        <v>0</v>
      </c>
      <c r="I807" s="37">
        <v>10000</v>
      </c>
    </row>
    <row r="808" spans="1:9" x14ac:dyDescent="0.2">
      <c r="A808" s="39" t="s">
        <v>588</v>
      </c>
      <c r="B808" s="40" t="s">
        <v>589</v>
      </c>
      <c r="C808" s="40" t="s">
        <v>206</v>
      </c>
      <c r="D808" s="40" t="s">
        <v>173</v>
      </c>
      <c r="E808" s="40" t="s">
        <v>590</v>
      </c>
      <c r="F808" s="49"/>
      <c r="G808" s="41">
        <f>G815+G818+G821+G809+G812</f>
        <v>87620.419530000014</v>
      </c>
      <c r="H808" s="41">
        <f>H815+H818+H821+H809+H812</f>
        <v>35700</v>
      </c>
      <c r="I808" s="41">
        <f>I815+I818+I821+I809+I812</f>
        <v>35700</v>
      </c>
    </row>
    <row r="809" spans="1:9" ht="48" x14ac:dyDescent="0.2">
      <c r="A809" s="189" t="s">
        <v>607</v>
      </c>
      <c r="B809" s="40" t="s">
        <v>585</v>
      </c>
      <c r="C809" s="40" t="s">
        <v>206</v>
      </c>
      <c r="D809" s="40" t="s">
        <v>173</v>
      </c>
      <c r="E809" s="40" t="s">
        <v>608</v>
      </c>
      <c r="F809" s="49"/>
      <c r="G809" s="41">
        <f t="shared" ref="G809:I810" si="227">G810</f>
        <v>17403.349450000002</v>
      </c>
      <c r="H809" s="47">
        <f t="shared" si="227"/>
        <v>0</v>
      </c>
      <c r="I809" s="47">
        <f t="shared" si="227"/>
        <v>0</v>
      </c>
    </row>
    <row r="810" spans="1:9" x14ac:dyDescent="0.2">
      <c r="A810" s="35" t="s">
        <v>344</v>
      </c>
      <c r="B810" s="36" t="s">
        <v>585</v>
      </c>
      <c r="C810" s="36" t="s">
        <v>206</v>
      </c>
      <c r="D810" s="36" t="s">
        <v>173</v>
      </c>
      <c r="E810" s="36" t="s">
        <v>608</v>
      </c>
      <c r="F810" s="36" t="s">
        <v>345</v>
      </c>
      <c r="G810" s="37">
        <f t="shared" si="227"/>
        <v>17403.349450000002</v>
      </c>
      <c r="H810" s="46">
        <f t="shared" si="227"/>
        <v>0</v>
      </c>
      <c r="I810" s="46">
        <f t="shared" si="227"/>
        <v>0</v>
      </c>
    </row>
    <row r="811" spans="1:9" x14ac:dyDescent="0.2">
      <c r="A811" s="35" t="s">
        <v>346</v>
      </c>
      <c r="B811" s="36" t="s">
        <v>585</v>
      </c>
      <c r="C811" s="36" t="s">
        <v>206</v>
      </c>
      <c r="D811" s="36" t="s">
        <v>173</v>
      </c>
      <c r="E811" s="36" t="s">
        <v>608</v>
      </c>
      <c r="F811" s="36" t="s">
        <v>347</v>
      </c>
      <c r="G811" s="37">
        <f>7261.39244+10141.95701</f>
        <v>17403.349450000002</v>
      </c>
      <c r="H811" s="46">
        <v>0</v>
      </c>
      <c r="I811" s="46">
        <v>0</v>
      </c>
    </row>
    <row r="812" spans="1:9" ht="36" x14ac:dyDescent="0.2">
      <c r="A812" s="39" t="s">
        <v>609</v>
      </c>
      <c r="B812" s="40" t="s">
        <v>585</v>
      </c>
      <c r="C812" s="40" t="s">
        <v>206</v>
      </c>
      <c r="D812" s="40" t="s">
        <v>173</v>
      </c>
      <c r="E812" s="40" t="s">
        <v>610</v>
      </c>
      <c r="F812" s="49"/>
      <c r="G812" s="41">
        <f t="shared" ref="G812:I813" si="228">G813</f>
        <v>1876.9700800000001</v>
      </c>
      <c r="H812" s="47">
        <f t="shared" si="228"/>
        <v>0</v>
      </c>
      <c r="I812" s="47">
        <f t="shared" si="228"/>
        <v>0</v>
      </c>
    </row>
    <row r="813" spans="1:9" x14ac:dyDescent="0.2">
      <c r="A813" s="35" t="s">
        <v>344</v>
      </c>
      <c r="B813" s="36" t="s">
        <v>585</v>
      </c>
      <c r="C813" s="36" t="s">
        <v>206</v>
      </c>
      <c r="D813" s="36" t="s">
        <v>173</v>
      </c>
      <c r="E813" s="36" t="s">
        <v>610</v>
      </c>
      <c r="F813" s="36" t="s">
        <v>345</v>
      </c>
      <c r="G813" s="37">
        <f t="shared" si="228"/>
        <v>1876.9700800000001</v>
      </c>
      <c r="H813" s="46">
        <f t="shared" si="228"/>
        <v>0</v>
      </c>
      <c r="I813" s="46">
        <f t="shared" si="228"/>
        <v>0</v>
      </c>
    </row>
    <row r="814" spans="1:9" x14ac:dyDescent="0.2">
      <c r="A814" s="35" t="s">
        <v>346</v>
      </c>
      <c r="B814" s="36" t="s">
        <v>585</v>
      </c>
      <c r="C814" s="36" t="s">
        <v>206</v>
      </c>
      <c r="D814" s="36" t="s">
        <v>173</v>
      </c>
      <c r="E814" s="36" t="s">
        <v>610</v>
      </c>
      <c r="F814" s="36" t="s">
        <v>347</v>
      </c>
      <c r="G814" s="37">
        <f>1052.08082+824.88926</f>
        <v>1876.9700800000001</v>
      </c>
      <c r="H814" s="46">
        <v>0</v>
      </c>
      <c r="I814" s="46">
        <v>0</v>
      </c>
    </row>
    <row r="815" spans="1:9" x14ac:dyDescent="0.2">
      <c r="A815" s="29" t="s">
        <v>611</v>
      </c>
      <c r="B815" s="30" t="s">
        <v>585</v>
      </c>
      <c r="C815" s="30" t="s">
        <v>206</v>
      </c>
      <c r="D815" s="30" t="s">
        <v>173</v>
      </c>
      <c r="E815" s="30" t="s">
        <v>612</v>
      </c>
      <c r="F815" s="30"/>
      <c r="G815" s="31">
        <f>G816</f>
        <v>13100</v>
      </c>
      <c r="H815" s="31">
        <f t="shared" ref="H815:I816" si="229">H816</f>
        <v>20200</v>
      </c>
      <c r="I815" s="31">
        <f t="shared" si="229"/>
        <v>20200</v>
      </c>
    </row>
    <row r="816" spans="1:9" x14ac:dyDescent="0.2">
      <c r="A816" s="35" t="s">
        <v>344</v>
      </c>
      <c r="B816" s="36" t="s">
        <v>585</v>
      </c>
      <c r="C816" s="36" t="s">
        <v>206</v>
      </c>
      <c r="D816" s="36" t="s">
        <v>173</v>
      </c>
      <c r="E816" s="36" t="s">
        <v>612</v>
      </c>
      <c r="F816" s="36" t="s">
        <v>345</v>
      </c>
      <c r="G816" s="37">
        <f>G817</f>
        <v>13100</v>
      </c>
      <c r="H816" s="37">
        <f t="shared" si="229"/>
        <v>20200</v>
      </c>
      <c r="I816" s="37">
        <f t="shared" si="229"/>
        <v>20200</v>
      </c>
    </row>
    <row r="817" spans="1:9" x14ac:dyDescent="0.2">
      <c r="A817" s="35" t="s">
        <v>346</v>
      </c>
      <c r="B817" s="36" t="s">
        <v>585</v>
      </c>
      <c r="C817" s="36" t="s">
        <v>206</v>
      </c>
      <c r="D817" s="36" t="s">
        <v>173</v>
      </c>
      <c r="E817" s="36" t="s">
        <v>612</v>
      </c>
      <c r="F817" s="36" t="s">
        <v>347</v>
      </c>
      <c r="G817" s="37">
        <f>28200-5000-10100</f>
        <v>13100</v>
      </c>
      <c r="H817" s="37">
        <v>20200</v>
      </c>
      <c r="I817" s="37">
        <v>20200</v>
      </c>
    </row>
    <row r="818" spans="1:9" ht="24" x14ac:dyDescent="0.2">
      <c r="A818" s="29" t="s">
        <v>613</v>
      </c>
      <c r="B818" s="30" t="s">
        <v>585</v>
      </c>
      <c r="C818" s="30" t="s">
        <v>206</v>
      </c>
      <c r="D818" s="30" t="s">
        <v>173</v>
      </c>
      <c r="E818" s="30" t="s">
        <v>614</v>
      </c>
      <c r="F818" s="30"/>
      <c r="G818" s="31">
        <f>G819</f>
        <v>51740.1</v>
      </c>
      <c r="H818" s="31">
        <f t="shared" ref="H818:I819" si="230">H819</f>
        <v>12000</v>
      </c>
      <c r="I818" s="31">
        <f t="shared" si="230"/>
        <v>12000</v>
      </c>
    </row>
    <row r="819" spans="1:9" x14ac:dyDescent="0.2">
      <c r="A819" s="35" t="s">
        <v>356</v>
      </c>
      <c r="B819" s="36" t="s">
        <v>585</v>
      </c>
      <c r="C819" s="36" t="s">
        <v>206</v>
      </c>
      <c r="D819" s="36" t="s">
        <v>173</v>
      </c>
      <c r="E819" s="36" t="s">
        <v>614</v>
      </c>
      <c r="F819" s="36" t="s">
        <v>357</v>
      </c>
      <c r="G819" s="37">
        <f>G820</f>
        <v>51740.1</v>
      </c>
      <c r="H819" s="37">
        <f t="shared" si="230"/>
        <v>12000</v>
      </c>
      <c r="I819" s="37">
        <f t="shared" si="230"/>
        <v>12000</v>
      </c>
    </row>
    <row r="820" spans="1:9" ht="24" x14ac:dyDescent="0.2">
      <c r="A820" s="68" t="s">
        <v>470</v>
      </c>
      <c r="B820" s="36" t="s">
        <v>585</v>
      </c>
      <c r="C820" s="36" t="s">
        <v>206</v>
      </c>
      <c r="D820" s="36" t="s">
        <v>173</v>
      </c>
      <c r="E820" s="36" t="s">
        <v>614</v>
      </c>
      <c r="F820" s="36" t="s">
        <v>471</v>
      </c>
      <c r="G820" s="37">
        <f>29400+22340.1</f>
        <v>51740.1</v>
      </c>
      <c r="H820" s="37">
        <v>12000</v>
      </c>
      <c r="I820" s="37">
        <v>12000</v>
      </c>
    </row>
    <row r="821" spans="1:9" ht="24" x14ac:dyDescent="0.2">
      <c r="A821" s="29" t="s">
        <v>615</v>
      </c>
      <c r="B821" s="30" t="s">
        <v>585</v>
      </c>
      <c r="C821" s="30" t="s">
        <v>206</v>
      </c>
      <c r="D821" s="30" t="s">
        <v>173</v>
      </c>
      <c r="E821" s="30" t="s">
        <v>616</v>
      </c>
      <c r="F821" s="30"/>
      <c r="G821" s="31">
        <f>G822</f>
        <v>3500</v>
      </c>
      <c r="H821" s="31">
        <f t="shared" ref="H821:I822" si="231">H822</f>
        <v>3500</v>
      </c>
      <c r="I821" s="31">
        <f t="shared" si="231"/>
        <v>3500</v>
      </c>
    </row>
    <row r="822" spans="1:9" x14ac:dyDescent="0.2">
      <c r="A822" s="35" t="s">
        <v>195</v>
      </c>
      <c r="B822" s="36" t="s">
        <v>585</v>
      </c>
      <c r="C822" s="36" t="s">
        <v>206</v>
      </c>
      <c r="D822" s="36" t="s">
        <v>173</v>
      </c>
      <c r="E822" s="36" t="s">
        <v>616</v>
      </c>
      <c r="F822" s="36" t="s">
        <v>196</v>
      </c>
      <c r="G822" s="37">
        <f>G823</f>
        <v>3500</v>
      </c>
      <c r="H822" s="37">
        <f t="shared" si="231"/>
        <v>3500</v>
      </c>
      <c r="I822" s="37">
        <f t="shared" si="231"/>
        <v>3500</v>
      </c>
    </row>
    <row r="823" spans="1:9" x14ac:dyDescent="0.2">
      <c r="A823" s="35" t="s">
        <v>197</v>
      </c>
      <c r="B823" s="36" t="s">
        <v>585</v>
      </c>
      <c r="C823" s="36" t="s">
        <v>206</v>
      </c>
      <c r="D823" s="36" t="s">
        <v>173</v>
      </c>
      <c r="E823" s="36" t="s">
        <v>616</v>
      </c>
      <c r="F823" s="36" t="s">
        <v>198</v>
      </c>
      <c r="G823" s="37">
        <v>3500</v>
      </c>
      <c r="H823" s="37">
        <v>3500</v>
      </c>
      <c r="I823" s="37">
        <v>3500</v>
      </c>
    </row>
    <row r="824" spans="1:9" ht="13.5" x14ac:dyDescent="0.2">
      <c r="A824" s="38" t="s">
        <v>617</v>
      </c>
      <c r="B824" s="32" t="s">
        <v>585</v>
      </c>
      <c r="C824" s="32" t="s">
        <v>206</v>
      </c>
      <c r="D824" s="32" t="s">
        <v>173</v>
      </c>
      <c r="E824" s="32" t="s">
        <v>618</v>
      </c>
      <c r="F824" s="32"/>
      <c r="G824" s="33">
        <f>G825+G828</f>
        <v>418985.3</v>
      </c>
      <c r="H824" s="61">
        <f>H825+H828</f>
        <v>0</v>
      </c>
      <c r="I824" s="61">
        <f>I825+I828</f>
        <v>0</v>
      </c>
    </row>
    <row r="825" spans="1:9" ht="16.5" customHeight="1" x14ac:dyDescent="0.2">
      <c r="A825" s="29" t="s">
        <v>619</v>
      </c>
      <c r="B825" s="30" t="s">
        <v>585</v>
      </c>
      <c r="C825" s="30" t="s">
        <v>206</v>
      </c>
      <c r="D825" s="30" t="s">
        <v>173</v>
      </c>
      <c r="E825" s="30" t="s">
        <v>620</v>
      </c>
      <c r="F825" s="30"/>
      <c r="G825" s="31">
        <f t="shared" ref="G825:I826" si="232">G826</f>
        <v>323885.3</v>
      </c>
      <c r="H825" s="45">
        <f t="shared" si="232"/>
        <v>0</v>
      </c>
      <c r="I825" s="45">
        <f t="shared" si="232"/>
        <v>0</v>
      </c>
    </row>
    <row r="826" spans="1:9" x14ac:dyDescent="0.2">
      <c r="A826" s="35" t="s">
        <v>344</v>
      </c>
      <c r="B826" s="36" t="s">
        <v>585</v>
      </c>
      <c r="C826" s="36" t="s">
        <v>206</v>
      </c>
      <c r="D826" s="36" t="s">
        <v>173</v>
      </c>
      <c r="E826" s="36" t="s">
        <v>620</v>
      </c>
      <c r="F826" s="36" t="s">
        <v>345</v>
      </c>
      <c r="G826" s="37">
        <f t="shared" si="232"/>
        <v>323885.3</v>
      </c>
      <c r="H826" s="46">
        <f t="shared" si="232"/>
        <v>0</v>
      </c>
      <c r="I826" s="46">
        <f t="shared" si="232"/>
        <v>0</v>
      </c>
    </row>
    <row r="827" spans="1:9" x14ac:dyDescent="0.2">
      <c r="A827" s="35" t="s">
        <v>346</v>
      </c>
      <c r="B827" s="36" t="s">
        <v>585</v>
      </c>
      <c r="C827" s="36" t="s">
        <v>206</v>
      </c>
      <c r="D827" s="36" t="s">
        <v>173</v>
      </c>
      <c r="E827" s="36" t="s">
        <v>620</v>
      </c>
      <c r="F827" s="36" t="s">
        <v>347</v>
      </c>
      <c r="G827" s="37">
        <f>403885.3-80000</f>
        <v>323885.3</v>
      </c>
      <c r="H827" s="46">
        <v>0</v>
      </c>
      <c r="I827" s="46">
        <v>0</v>
      </c>
    </row>
    <row r="828" spans="1:9" ht="24" x14ac:dyDescent="0.2">
      <c r="A828" s="29" t="s">
        <v>621</v>
      </c>
      <c r="B828" s="30" t="s">
        <v>585</v>
      </c>
      <c r="C828" s="30" t="s">
        <v>206</v>
      </c>
      <c r="D828" s="30" t="s">
        <v>173</v>
      </c>
      <c r="E828" s="30" t="s">
        <v>622</v>
      </c>
      <c r="F828" s="30"/>
      <c r="G828" s="31">
        <f t="shared" ref="G828:I829" si="233">G829</f>
        <v>95100</v>
      </c>
      <c r="H828" s="45">
        <f t="shared" si="233"/>
        <v>0</v>
      </c>
      <c r="I828" s="45">
        <f t="shared" si="233"/>
        <v>0</v>
      </c>
    </row>
    <row r="829" spans="1:9" x14ac:dyDescent="0.2">
      <c r="A829" s="35" t="s">
        <v>344</v>
      </c>
      <c r="B829" s="36" t="s">
        <v>585</v>
      </c>
      <c r="C829" s="36" t="s">
        <v>206</v>
      </c>
      <c r="D829" s="36" t="s">
        <v>173</v>
      </c>
      <c r="E829" s="36" t="s">
        <v>622</v>
      </c>
      <c r="F829" s="36" t="s">
        <v>345</v>
      </c>
      <c r="G829" s="37">
        <f t="shared" si="233"/>
        <v>95100</v>
      </c>
      <c r="H829" s="46">
        <f t="shared" si="233"/>
        <v>0</v>
      </c>
      <c r="I829" s="46">
        <f t="shared" si="233"/>
        <v>0</v>
      </c>
    </row>
    <row r="830" spans="1:9" x14ac:dyDescent="0.2">
      <c r="A830" s="35" t="s">
        <v>346</v>
      </c>
      <c r="B830" s="36" t="s">
        <v>585</v>
      </c>
      <c r="C830" s="36" t="s">
        <v>206</v>
      </c>
      <c r="D830" s="36" t="s">
        <v>173</v>
      </c>
      <c r="E830" s="36" t="s">
        <v>622</v>
      </c>
      <c r="F830" s="36" t="s">
        <v>347</v>
      </c>
      <c r="G830" s="37">
        <f>5000+10100+80000</f>
        <v>95100</v>
      </c>
      <c r="H830" s="46">
        <v>0</v>
      </c>
      <c r="I830" s="46">
        <v>0</v>
      </c>
    </row>
    <row r="831" spans="1:9" x14ac:dyDescent="0.2">
      <c r="A831" s="29" t="s">
        <v>564</v>
      </c>
      <c r="B831" s="30" t="s">
        <v>585</v>
      </c>
      <c r="C831" s="30" t="s">
        <v>206</v>
      </c>
      <c r="D831" s="30" t="s">
        <v>352</v>
      </c>
      <c r="E831" s="30"/>
      <c r="F831" s="30"/>
      <c r="G831" s="31">
        <f>G832</f>
        <v>63744.6</v>
      </c>
      <c r="H831" s="31">
        <f t="shared" ref="H831:I831" si="234">H832</f>
        <v>256000</v>
      </c>
      <c r="I831" s="31">
        <f t="shared" si="234"/>
        <v>49400</v>
      </c>
    </row>
    <row r="832" spans="1:9" ht="27" x14ac:dyDescent="0.2">
      <c r="A832" s="38" t="s">
        <v>586</v>
      </c>
      <c r="B832" s="32" t="s">
        <v>585</v>
      </c>
      <c r="C832" s="32" t="s">
        <v>206</v>
      </c>
      <c r="D832" s="32" t="s">
        <v>352</v>
      </c>
      <c r="E832" s="32" t="s">
        <v>587</v>
      </c>
      <c r="F832" s="40"/>
      <c r="G832" s="33">
        <f>G833+G845+G854+G858</f>
        <v>63744.6</v>
      </c>
      <c r="H832" s="33">
        <f>H833+H845+H854+H858</f>
        <v>256000</v>
      </c>
      <c r="I832" s="33">
        <f>I833+I845+I854+I858</f>
        <v>49400</v>
      </c>
    </row>
    <row r="833" spans="1:9" x14ac:dyDescent="0.2">
      <c r="A833" s="39" t="s">
        <v>623</v>
      </c>
      <c r="B833" s="40" t="s">
        <v>585</v>
      </c>
      <c r="C833" s="40" t="s">
        <v>206</v>
      </c>
      <c r="D833" s="40" t="s">
        <v>352</v>
      </c>
      <c r="E833" s="40" t="s">
        <v>624</v>
      </c>
      <c r="F833" s="40"/>
      <c r="G833" s="41">
        <f>G834+G839+G842</f>
        <v>7313.5</v>
      </c>
      <c r="H833" s="41">
        <f>H834+H839</f>
        <v>500</v>
      </c>
      <c r="I833" s="41">
        <f>I834+I839</f>
        <v>21600</v>
      </c>
    </row>
    <row r="834" spans="1:9" x14ac:dyDescent="0.2">
      <c r="A834" s="29" t="s">
        <v>625</v>
      </c>
      <c r="B834" s="30" t="s">
        <v>585</v>
      </c>
      <c r="C834" s="30" t="s">
        <v>206</v>
      </c>
      <c r="D834" s="30" t="s">
        <v>352</v>
      </c>
      <c r="E834" s="30" t="s">
        <v>626</v>
      </c>
      <c r="F834" s="36"/>
      <c r="G834" s="45">
        <f>G835+G837</f>
        <v>3000</v>
      </c>
      <c r="H834" s="45">
        <f>H835+H837</f>
        <v>0</v>
      </c>
      <c r="I834" s="45">
        <f>I835+I837</f>
        <v>21100</v>
      </c>
    </row>
    <row r="835" spans="1:9" x14ac:dyDescent="0.2">
      <c r="A835" s="35" t="s">
        <v>195</v>
      </c>
      <c r="B835" s="48">
        <v>609</v>
      </c>
      <c r="C835" s="211" t="s">
        <v>206</v>
      </c>
      <c r="D835" s="211" t="s">
        <v>352</v>
      </c>
      <c r="E835" s="36" t="s">
        <v>626</v>
      </c>
      <c r="F835" s="36" t="s">
        <v>196</v>
      </c>
      <c r="G835" s="46">
        <f>G836</f>
        <v>3000</v>
      </c>
      <c r="H835" s="46">
        <f>H836</f>
        <v>0</v>
      </c>
      <c r="I835" s="46">
        <f>I836</f>
        <v>3250</v>
      </c>
    </row>
    <row r="836" spans="1:9" x14ac:dyDescent="0.2">
      <c r="A836" s="35" t="s">
        <v>197</v>
      </c>
      <c r="B836" s="36" t="s">
        <v>585</v>
      </c>
      <c r="C836" s="36" t="s">
        <v>206</v>
      </c>
      <c r="D836" s="36" t="s">
        <v>352</v>
      </c>
      <c r="E836" s="36" t="s">
        <v>626</v>
      </c>
      <c r="F836" s="36" t="s">
        <v>198</v>
      </c>
      <c r="G836" s="46">
        <v>3000</v>
      </c>
      <c r="H836" s="46">
        <f>3100-3100</f>
        <v>0</v>
      </c>
      <c r="I836" s="46">
        <v>3250</v>
      </c>
    </row>
    <row r="837" spans="1:9" x14ac:dyDescent="0.2">
      <c r="A837" s="35" t="s">
        <v>344</v>
      </c>
      <c r="B837" s="48">
        <v>609</v>
      </c>
      <c r="C837" s="211" t="s">
        <v>206</v>
      </c>
      <c r="D837" s="211" t="s">
        <v>352</v>
      </c>
      <c r="E837" s="36" t="s">
        <v>626</v>
      </c>
      <c r="F837" s="36" t="s">
        <v>345</v>
      </c>
      <c r="G837" s="46">
        <f>G838</f>
        <v>0</v>
      </c>
      <c r="H837" s="46">
        <f>H838</f>
        <v>0</v>
      </c>
      <c r="I837" s="46">
        <f>I838</f>
        <v>17850</v>
      </c>
    </row>
    <row r="838" spans="1:9" x14ac:dyDescent="0.2">
      <c r="A838" s="35" t="s">
        <v>346</v>
      </c>
      <c r="B838" s="36" t="s">
        <v>585</v>
      </c>
      <c r="C838" s="36" t="s">
        <v>206</v>
      </c>
      <c r="D838" s="36" t="s">
        <v>352</v>
      </c>
      <c r="E838" s="36" t="s">
        <v>626</v>
      </c>
      <c r="F838" s="36" t="s">
        <v>347</v>
      </c>
      <c r="G838" s="46">
        <v>0</v>
      </c>
      <c r="H838" s="46">
        <f>17000-17000</f>
        <v>0</v>
      </c>
      <c r="I838" s="46">
        <v>17850</v>
      </c>
    </row>
    <row r="839" spans="1:9" x14ac:dyDescent="0.2">
      <c r="A839" s="29" t="s">
        <v>627</v>
      </c>
      <c r="B839" s="30" t="s">
        <v>585</v>
      </c>
      <c r="C839" s="30" t="s">
        <v>206</v>
      </c>
      <c r="D839" s="30" t="s">
        <v>352</v>
      </c>
      <c r="E839" s="30" t="s">
        <v>628</v>
      </c>
      <c r="F839" s="30"/>
      <c r="G839" s="31">
        <f>G840</f>
        <v>313.5</v>
      </c>
      <c r="H839" s="31">
        <f t="shared" ref="H839:I840" si="235">H840</f>
        <v>500</v>
      </c>
      <c r="I839" s="31">
        <f t="shared" si="235"/>
        <v>500</v>
      </c>
    </row>
    <row r="840" spans="1:9" x14ac:dyDescent="0.2">
      <c r="A840" s="35" t="s">
        <v>195</v>
      </c>
      <c r="B840" s="36" t="s">
        <v>585</v>
      </c>
      <c r="C840" s="36" t="s">
        <v>206</v>
      </c>
      <c r="D840" s="36" t="s">
        <v>352</v>
      </c>
      <c r="E840" s="36" t="s">
        <v>628</v>
      </c>
      <c r="F840" s="36" t="s">
        <v>196</v>
      </c>
      <c r="G840" s="37">
        <f>G841</f>
        <v>313.5</v>
      </c>
      <c r="H840" s="37">
        <f t="shared" si="235"/>
        <v>500</v>
      </c>
      <c r="I840" s="37">
        <f t="shared" si="235"/>
        <v>500</v>
      </c>
    </row>
    <row r="841" spans="1:9" x14ac:dyDescent="0.2">
      <c r="A841" s="35" t="s">
        <v>197</v>
      </c>
      <c r="B841" s="36" t="s">
        <v>585</v>
      </c>
      <c r="C841" s="36" t="s">
        <v>206</v>
      </c>
      <c r="D841" s="36" t="s">
        <v>352</v>
      </c>
      <c r="E841" s="36" t="s">
        <v>628</v>
      </c>
      <c r="F841" s="36" t="s">
        <v>198</v>
      </c>
      <c r="G841" s="37">
        <v>313.5</v>
      </c>
      <c r="H841" s="37">
        <v>500</v>
      </c>
      <c r="I841" s="37">
        <v>500</v>
      </c>
    </row>
    <row r="842" spans="1:9" x14ac:dyDescent="0.2">
      <c r="A842" s="29" t="s">
        <v>629</v>
      </c>
      <c r="B842" s="30" t="s">
        <v>585</v>
      </c>
      <c r="C842" s="30" t="s">
        <v>206</v>
      </c>
      <c r="D842" s="30" t="s">
        <v>352</v>
      </c>
      <c r="E842" s="30" t="s">
        <v>630</v>
      </c>
      <c r="F842" s="30"/>
      <c r="G842" s="31">
        <f t="shared" ref="G842:I843" si="236">G843</f>
        <v>4000</v>
      </c>
      <c r="H842" s="45">
        <f t="shared" si="236"/>
        <v>0</v>
      </c>
      <c r="I842" s="45">
        <f t="shared" si="236"/>
        <v>0</v>
      </c>
    </row>
    <row r="843" spans="1:9" x14ac:dyDescent="0.2">
      <c r="A843" s="35" t="s">
        <v>195</v>
      </c>
      <c r="B843" s="36" t="s">
        <v>585</v>
      </c>
      <c r="C843" s="36" t="s">
        <v>206</v>
      </c>
      <c r="D843" s="36" t="s">
        <v>352</v>
      </c>
      <c r="E843" s="36" t="s">
        <v>630</v>
      </c>
      <c r="F843" s="36" t="s">
        <v>196</v>
      </c>
      <c r="G843" s="37">
        <f t="shared" si="236"/>
        <v>4000</v>
      </c>
      <c r="H843" s="46">
        <f t="shared" si="236"/>
        <v>0</v>
      </c>
      <c r="I843" s="46">
        <f t="shared" si="236"/>
        <v>0</v>
      </c>
    </row>
    <row r="844" spans="1:9" x14ac:dyDescent="0.2">
      <c r="A844" s="35" t="s">
        <v>197</v>
      </c>
      <c r="B844" s="36" t="s">
        <v>585</v>
      </c>
      <c r="C844" s="36" t="s">
        <v>206</v>
      </c>
      <c r="D844" s="36" t="s">
        <v>352</v>
      </c>
      <c r="E844" s="36" t="s">
        <v>630</v>
      </c>
      <c r="F844" s="36" t="s">
        <v>198</v>
      </c>
      <c r="G844" s="37">
        <v>4000</v>
      </c>
      <c r="H844" s="46">
        <v>0</v>
      </c>
      <c r="I844" s="46">
        <v>0</v>
      </c>
    </row>
    <row r="845" spans="1:9" x14ac:dyDescent="0.2">
      <c r="A845" s="39" t="s">
        <v>631</v>
      </c>
      <c r="B845" s="40" t="s">
        <v>585</v>
      </c>
      <c r="C845" s="40" t="s">
        <v>206</v>
      </c>
      <c r="D845" s="40" t="s">
        <v>352</v>
      </c>
      <c r="E845" s="40" t="s">
        <v>632</v>
      </c>
      <c r="F845" s="49"/>
      <c r="G845" s="41">
        <f t="shared" ref="G845:I845" si="237">G846+G851</f>
        <v>51331.1</v>
      </c>
      <c r="H845" s="41">
        <f t="shared" si="237"/>
        <v>252000</v>
      </c>
      <c r="I845" s="41">
        <f t="shared" si="237"/>
        <v>24300</v>
      </c>
    </row>
    <row r="846" spans="1:9" x14ac:dyDescent="0.2">
      <c r="A846" s="29" t="s">
        <v>633</v>
      </c>
      <c r="B846" s="30" t="s">
        <v>585</v>
      </c>
      <c r="C846" s="30" t="s">
        <v>206</v>
      </c>
      <c r="D846" s="30" t="s">
        <v>352</v>
      </c>
      <c r="E846" s="30" t="s">
        <v>634</v>
      </c>
      <c r="F846" s="36"/>
      <c r="G846" s="31">
        <f>G847+G849</f>
        <v>23331.1</v>
      </c>
      <c r="H846" s="45">
        <f>H847+H849</f>
        <v>0</v>
      </c>
      <c r="I846" s="31">
        <f>I847+I849</f>
        <v>24300</v>
      </c>
    </row>
    <row r="847" spans="1:9" x14ac:dyDescent="0.2">
      <c r="A847" s="35" t="s">
        <v>195</v>
      </c>
      <c r="B847" s="36" t="s">
        <v>585</v>
      </c>
      <c r="C847" s="36" t="s">
        <v>206</v>
      </c>
      <c r="D847" s="36" t="s">
        <v>352</v>
      </c>
      <c r="E847" s="36" t="s">
        <v>634</v>
      </c>
      <c r="F847" s="36" t="s">
        <v>196</v>
      </c>
      <c r="G847" s="37">
        <f>G848</f>
        <v>8035</v>
      </c>
      <c r="H847" s="46">
        <f t="shared" ref="H847:I847" si="238">H848</f>
        <v>0</v>
      </c>
      <c r="I847" s="37">
        <f t="shared" si="238"/>
        <v>300</v>
      </c>
    </row>
    <row r="848" spans="1:9" x14ac:dyDescent="0.2">
      <c r="A848" s="35" t="s">
        <v>197</v>
      </c>
      <c r="B848" s="36" t="s">
        <v>585</v>
      </c>
      <c r="C848" s="36" t="s">
        <v>206</v>
      </c>
      <c r="D848" s="36" t="s">
        <v>352</v>
      </c>
      <c r="E848" s="36" t="s">
        <v>634</v>
      </c>
      <c r="F848" s="36" t="s">
        <v>198</v>
      </c>
      <c r="G848" s="37">
        <f>1000+6000-6000+7035</f>
        <v>8035</v>
      </c>
      <c r="H848" s="46">
        <f>300-300</f>
        <v>0</v>
      </c>
      <c r="I848" s="46">
        <v>300</v>
      </c>
    </row>
    <row r="849" spans="1:9" x14ac:dyDescent="0.2">
      <c r="A849" s="35" t="s">
        <v>344</v>
      </c>
      <c r="B849" s="36" t="s">
        <v>585</v>
      </c>
      <c r="C849" s="36" t="s">
        <v>206</v>
      </c>
      <c r="D849" s="36" t="s">
        <v>352</v>
      </c>
      <c r="E849" s="36" t="s">
        <v>634</v>
      </c>
      <c r="F849" s="36" t="s">
        <v>345</v>
      </c>
      <c r="G849" s="37">
        <f>G850</f>
        <v>15296.099999999999</v>
      </c>
      <c r="H849" s="46">
        <f t="shared" ref="H849:I849" si="239">H850</f>
        <v>0</v>
      </c>
      <c r="I849" s="37">
        <f t="shared" si="239"/>
        <v>24000</v>
      </c>
    </row>
    <row r="850" spans="1:9" x14ac:dyDescent="0.2">
      <c r="A850" s="35" t="s">
        <v>346</v>
      </c>
      <c r="B850" s="36" t="s">
        <v>585</v>
      </c>
      <c r="C850" s="36" t="s">
        <v>206</v>
      </c>
      <c r="D850" s="36" t="s">
        <v>352</v>
      </c>
      <c r="E850" s="36" t="s">
        <v>634</v>
      </c>
      <c r="F850" s="36" t="s">
        <v>347</v>
      </c>
      <c r="G850" s="37">
        <f>14331.1+6000+2000-7035</f>
        <v>15296.099999999999</v>
      </c>
      <c r="H850" s="46">
        <f>20000-20000</f>
        <v>0</v>
      </c>
      <c r="I850" s="46">
        <v>24000</v>
      </c>
    </row>
    <row r="851" spans="1:9" x14ac:dyDescent="0.2">
      <c r="A851" s="29" t="s">
        <v>635</v>
      </c>
      <c r="B851" s="30" t="s">
        <v>585</v>
      </c>
      <c r="C851" s="30" t="s">
        <v>206</v>
      </c>
      <c r="D851" s="30" t="s">
        <v>352</v>
      </c>
      <c r="E851" s="30" t="s">
        <v>636</v>
      </c>
      <c r="F851" s="36"/>
      <c r="G851" s="31">
        <f t="shared" ref="G851:I852" si="240">G852</f>
        <v>28000</v>
      </c>
      <c r="H851" s="45">
        <f t="shared" si="240"/>
        <v>252000</v>
      </c>
      <c r="I851" s="45">
        <f t="shared" si="240"/>
        <v>0</v>
      </c>
    </row>
    <row r="852" spans="1:9" x14ac:dyDescent="0.2">
      <c r="A852" s="35" t="s">
        <v>344</v>
      </c>
      <c r="B852" s="36" t="s">
        <v>585</v>
      </c>
      <c r="C852" s="36" t="s">
        <v>206</v>
      </c>
      <c r="D852" s="36" t="s">
        <v>352</v>
      </c>
      <c r="E852" s="36" t="s">
        <v>636</v>
      </c>
      <c r="F852" s="36" t="s">
        <v>345</v>
      </c>
      <c r="G852" s="37">
        <f t="shared" si="240"/>
        <v>28000</v>
      </c>
      <c r="H852" s="46">
        <f t="shared" si="240"/>
        <v>252000</v>
      </c>
      <c r="I852" s="46">
        <f t="shared" si="240"/>
        <v>0</v>
      </c>
    </row>
    <row r="853" spans="1:9" x14ac:dyDescent="0.2">
      <c r="A853" s="35" t="s">
        <v>346</v>
      </c>
      <c r="B853" s="36" t="s">
        <v>585</v>
      </c>
      <c r="C853" s="36" t="s">
        <v>206</v>
      </c>
      <c r="D853" s="36" t="s">
        <v>352</v>
      </c>
      <c r="E853" s="36" t="s">
        <v>636</v>
      </c>
      <c r="F853" s="36" t="s">
        <v>347</v>
      </c>
      <c r="G853" s="37">
        <v>28000</v>
      </c>
      <c r="H853" s="46">
        <v>252000</v>
      </c>
      <c r="I853" s="46">
        <v>0</v>
      </c>
    </row>
    <row r="854" spans="1:9" x14ac:dyDescent="0.2">
      <c r="A854" s="39" t="s">
        <v>637</v>
      </c>
      <c r="B854" s="40" t="s">
        <v>589</v>
      </c>
      <c r="C854" s="40" t="s">
        <v>206</v>
      </c>
      <c r="D854" s="40" t="s">
        <v>352</v>
      </c>
      <c r="E854" s="40" t="s">
        <v>638</v>
      </c>
      <c r="F854" s="40"/>
      <c r="G854" s="41">
        <f>G855</f>
        <v>3000</v>
      </c>
      <c r="H854" s="41">
        <f t="shared" ref="H854:I856" si="241">H855</f>
        <v>3500</v>
      </c>
      <c r="I854" s="41">
        <f t="shared" si="241"/>
        <v>3500</v>
      </c>
    </row>
    <row r="855" spans="1:9" x14ac:dyDescent="0.2">
      <c r="A855" s="29" t="s">
        <v>639</v>
      </c>
      <c r="B855" s="30" t="s">
        <v>585</v>
      </c>
      <c r="C855" s="30" t="s">
        <v>206</v>
      </c>
      <c r="D855" s="30" t="s">
        <v>352</v>
      </c>
      <c r="E855" s="30" t="s">
        <v>640</v>
      </c>
      <c r="F855" s="30"/>
      <c r="G855" s="31">
        <f>G856</f>
        <v>3000</v>
      </c>
      <c r="H855" s="31">
        <f t="shared" si="241"/>
        <v>3500</v>
      </c>
      <c r="I855" s="31">
        <f t="shared" si="241"/>
        <v>3500</v>
      </c>
    </row>
    <row r="856" spans="1:9" x14ac:dyDescent="0.2">
      <c r="A856" s="35" t="s">
        <v>195</v>
      </c>
      <c r="B856" s="36" t="s">
        <v>585</v>
      </c>
      <c r="C856" s="36" t="s">
        <v>206</v>
      </c>
      <c r="D856" s="36" t="s">
        <v>352</v>
      </c>
      <c r="E856" s="36" t="s">
        <v>640</v>
      </c>
      <c r="F856" s="36" t="s">
        <v>196</v>
      </c>
      <c r="G856" s="37">
        <f>G857</f>
        <v>3000</v>
      </c>
      <c r="H856" s="37">
        <f t="shared" si="241"/>
        <v>3500</v>
      </c>
      <c r="I856" s="37">
        <f t="shared" si="241"/>
        <v>3500</v>
      </c>
    </row>
    <row r="857" spans="1:9" x14ac:dyDescent="0.2">
      <c r="A857" s="35" t="s">
        <v>197</v>
      </c>
      <c r="B857" s="36" t="s">
        <v>585</v>
      </c>
      <c r="C857" s="36" t="s">
        <v>206</v>
      </c>
      <c r="D857" s="36" t="s">
        <v>352</v>
      </c>
      <c r="E857" s="36" t="s">
        <v>640</v>
      </c>
      <c r="F857" s="36" t="s">
        <v>198</v>
      </c>
      <c r="G857" s="37">
        <v>3000</v>
      </c>
      <c r="H857" s="37">
        <v>3500</v>
      </c>
      <c r="I857" s="37">
        <v>3500</v>
      </c>
    </row>
    <row r="858" spans="1:9" x14ac:dyDescent="0.2">
      <c r="A858" s="39" t="s">
        <v>641</v>
      </c>
      <c r="B858" s="40" t="s">
        <v>585</v>
      </c>
      <c r="C858" s="40" t="s">
        <v>206</v>
      </c>
      <c r="D858" s="40" t="s">
        <v>352</v>
      </c>
      <c r="E858" s="40" t="s">
        <v>642</v>
      </c>
      <c r="F858" s="40"/>
      <c r="G858" s="47">
        <f t="shared" ref="G858:I860" si="242">G859</f>
        <v>2100</v>
      </c>
      <c r="H858" s="47">
        <f t="shared" si="242"/>
        <v>0</v>
      </c>
      <c r="I858" s="47">
        <f t="shared" si="242"/>
        <v>0</v>
      </c>
    </row>
    <row r="859" spans="1:9" x14ac:dyDescent="0.2">
      <c r="A859" s="29" t="s">
        <v>643</v>
      </c>
      <c r="B859" s="36" t="s">
        <v>585</v>
      </c>
      <c r="C859" s="36" t="s">
        <v>206</v>
      </c>
      <c r="D859" s="36" t="s">
        <v>352</v>
      </c>
      <c r="E859" s="30" t="s">
        <v>644</v>
      </c>
      <c r="F859" s="30"/>
      <c r="G859" s="45">
        <f t="shared" si="242"/>
        <v>2100</v>
      </c>
      <c r="H859" s="45">
        <f t="shared" si="242"/>
        <v>0</v>
      </c>
      <c r="I859" s="45">
        <f t="shared" si="242"/>
        <v>0</v>
      </c>
    </row>
    <row r="860" spans="1:9" x14ac:dyDescent="0.2">
      <c r="A860" s="35" t="s">
        <v>195</v>
      </c>
      <c r="B860" s="36" t="s">
        <v>585</v>
      </c>
      <c r="C860" s="36" t="s">
        <v>206</v>
      </c>
      <c r="D860" s="36" t="s">
        <v>352</v>
      </c>
      <c r="E860" s="36" t="s">
        <v>644</v>
      </c>
      <c r="F860" s="36" t="s">
        <v>196</v>
      </c>
      <c r="G860" s="46">
        <f t="shared" si="242"/>
        <v>2100</v>
      </c>
      <c r="H860" s="46">
        <f t="shared" si="242"/>
        <v>0</v>
      </c>
      <c r="I860" s="46">
        <f t="shared" si="242"/>
        <v>0</v>
      </c>
    </row>
    <row r="861" spans="1:9" x14ac:dyDescent="0.2">
      <c r="A861" s="35" t="s">
        <v>197</v>
      </c>
      <c r="B861" s="36" t="s">
        <v>585</v>
      </c>
      <c r="C861" s="36" t="s">
        <v>206</v>
      </c>
      <c r="D861" s="36" t="s">
        <v>352</v>
      </c>
      <c r="E861" s="36" t="s">
        <v>644</v>
      </c>
      <c r="F861" s="36" t="s">
        <v>198</v>
      </c>
      <c r="G861" s="46">
        <v>2100</v>
      </c>
      <c r="H861" s="46">
        <v>0</v>
      </c>
      <c r="I861" s="46">
        <v>0</v>
      </c>
    </row>
    <row r="862" spans="1:9" x14ac:dyDescent="0.2">
      <c r="A862" s="29" t="s">
        <v>368</v>
      </c>
      <c r="B862" s="30" t="s">
        <v>585</v>
      </c>
      <c r="C862" s="30" t="s">
        <v>206</v>
      </c>
      <c r="D862" s="30" t="s">
        <v>283</v>
      </c>
      <c r="E862" s="30"/>
      <c r="F862" s="30"/>
      <c r="G862" s="31">
        <f>G863</f>
        <v>140090</v>
      </c>
      <c r="H862" s="31">
        <f t="shared" ref="H862:I863" si="243">H863</f>
        <v>142576.5</v>
      </c>
      <c r="I862" s="31">
        <f t="shared" si="243"/>
        <v>157405.1</v>
      </c>
    </row>
    <row r="863" spans="1:9" ht="27" x14ac:dyDescent="0.2">
      <c r="A863" s="38" t="s">
        <v>586</v>
      </c>
      <c r="B863" s="32" t="s">
        <v>585</v>
      </c>
      <c r="C863" s="32" t="s">
        <v>206</v>
      </c>
      <c r="D863" s="32" t="s">
        <v>283</v>
      </c>
      <c r="E863" s="32" t="s">
        <v>587</v>
      </c>
      <c r="F863" s="32"/>
      <c r="G863" s="33">
        <f>G864</f>
        <v>140090</v>
      </c>
      <c r="H863" s="33">
        <f t="shared" si="243"/>
        <v>142576.5</v>
      </c>
      <c r="I863" s="33">
        <f t="shared" si="243"/>
        <v>157405.1</v>
      </c>
    </row>
    <row r="864" spans="1:9" x14ac:dyDescent="0.2">
      <c r="A864" s="39" t="s">
        <v>637</v>
      </c>
      <c r="B864" s="40" t="s">
        <v>589</v>
      </c>
      <c r="C864" s="40" t="s">
        <v>206</v>
      </c>
      <c r="D864" s="40" t="s">
        <v>283</v>
      </c>
      <c r="E864" s="40" t="s">
        <v>638</v>
      </c>
      <c r="F864" s="40"/>
      <c r="G864" s="41">
        <f>G865+G868</f>
        <v>140090</v>
      </c>
      <c r="H864" s="41">
        <f>H865+H868</f>
        <v>142576.5</v>
      </c>
      <c r="I864" s="41">
        <f>I865+I868</f>
        <v>157405.1</v>
      </c>
    </row>
    <row r="865" spans="1:9" x14ac:dyDescent="0.2">
      <c r="A865" s="29" t="s">
        <v>645</v>
      </c>
      <c r="B865" s="30" t="s">
        <v>589</v>
      </c>
      <c r="C865" s="30" t="s">
        <v>206</v>
      </c>
      <c r="D865" s="30" t="s">
        <v>283</v>
      </c>
      <c r="E865" s="30" t="s">
        <v>646</v>
      </c>
      <c r="F865" s="36"/>
      <c r="G865" s="31">
        <f>G866</f>
        <v>35590</v>
      </c>
      <c r="H865" s="31">
        <f t="shared" ref="H865:I866" si="244">H866</f>
        <v>37725.4</v>
      </c>
      <c r="I865" s="31">
        <f t="shared" si="244"/>
        <v>39988.9</v>
      </c>
    </row>
    <row r="866" spans="1:9" x14ac:dyDescent="0.2">
      <c r="A866" s="35" t="s">
        <v>356</v>
      </c>
      <c r="B866" s="36" t="s">
        <v>585</v>
      </c>
      <c r="C866" s="36" t="s">
        <v>206</v>
      </c>
      <c r="D866" s="36" t="s">
        <v>283</v>
      </c>
      <c r="E866" s="36" t="s">
        <v>646</v>
      </c>
      <c r="F866" s="36" t="s">
        <v>357</v>
      </c>
      <c r="G866" s="37">
        <f>G867</f>
        <v>35590</v>
      </c>
      <c r="H866" s="37">
        <f t="shared" si="244"/>
        <v>37725.4</v>
      </c>
      <c r="I866" s="37">
        <f t="shared" si="244"/>
        <v>39988.9</v>
      </c>
    </row>
    <row r="867" spans="1:9" x14ac:dyDescent="0.2">
      <c r="A867" s="35" t="s">
        <v>358</v>
      </c>
      <c r="B867" s="36" t="s">
        <v>585</v>
      </c>
      <c r="C867" s="36" t="s">
        <v>206</v>
      </c>
      <c r="D867" s="36" t="s">
        <v>283</v>
      </c>
      <c r="E867" s="36" t="s">
        <v>646</v>
      </c>
      <c r="F867" s="36" t="s">
        <v>359</v>
      </c>
      <c r="G867" s="37">
        <v>35590</v>
      </c>
      <c r="H867" s="37">
        <v>37725.4</v>
      </c>
      <c r="I867" s="37">
        <v>39988.9</v>
      </c>
    </row>
    <row r="868" spans="1:9" x14ac:dyDescent="0.2">
      <c r="A868" s="29" t="s">
        <v>647</v>
      </c>
      <c r="B868" s="30" t="s">
        <v>585</v>
      </c>
      <c r="C868" s="30" t="s">
        <v>206</v>
      </c>
      <c r="D868" s="30" t="s">
        <v>283</v>
      </c>
      <c r="E868" s="30" t="s">
        <v>648</v>
      </c>
      <c r="F868" s="30"/>
      <c r="G868" s="31">
        <f>G869</f>
        <v>104500</v>
      </c>
      <c r="H868" s="31">
        <f t="shared" ref="H868:I869" si="245">H869</f>
        <v>104851.1</v>
      </c>
      <c r="I868" s="31">
        <f t="shared" si="245"/>
        <v>117416.2</v>
      </c>
    </row>
    <row r="869" spans="1:9" x14ac:dyDescent="0.2">
      <c r="A869" s="35" t="s">
        <v>195</v>
      </c>
      <c r="B869" s="36" t="s">
        <v>585</v>
      </c>
      <c r="C869" s="36" t="s">
        <v>206</v>
      </c>
      <c r="D869" s="36" t="s">
        <v>283</v>
      </c>
      <c r="E869" s="36" t="s">
        <v>648</v>
      </c>
      <c r="F869" s="36" t="s">
        <v>196</v>
      </c>
      <c r="G869" s="37">
        <f>G870</f>
        <v>104500</v>
      </c>
      <c r="H869" s="37">
        <f t="shared" si="245"/>
        <v>104851.1</v>
      </c>
      <c r="I869" s="37">
        <f t="shared" si="245"/>
        <v>117416.2</v>
      </c>
    </row>
    <row r="870" spans="1:9" x14ac:dyDescent="0.2">
      <c r="A870" s="35" t="s">
        <v>197</v>
      </c>
      <c r="B870" s="36" t="s">
        <v>585</v>
      </c>
      <c r="C870" s="36" t="s">
        <v>206</v>
      </c>
      <c r="D870" s="36" t="s">
        <v>283</v>
      </c>
      <c r="E870" s="36" t="s">
        <v>648</v>
      </c>
      <c r="F870" s="36" t="s">
        <v>198</v>
      </c>
      <c r="G870" s="37">
        <v>104500</v>
      </c>
      <c r="H870" s="37">
        <f>110770-5918.9</f>
        <v>104851.1</v>
      </c>
      <c r="I870" s="37">
        <v>117416.2</v>
      </c>
    </row>
    <row r="871" spans="1:9" x14ac:dyDescent="0.2">
      <c r="A871" s="29" t="s">
        <v>539</v>
      </c>
      <c r="B871" s="30" t="s">
        <v>585</v>
      </c>
      <c r="C871" s="30" t="s">
        <v>206</v>
      </c>
      <c r="D871" s="30" t="s">
        <v>206</v>
      </c>
      <c r="E871" s="30"/>
      <c r="F871" s="30"/>
      <c r="G871" s="31">
        <f>G872+G891</f>
        <v>39668.06914</v>
      </c>
      <c r="H871" s="31">
        <f>H872+H891</f>
        <v>32908.5</v>
      </c>
      <c r="I871" s="31">
        <f>I872+I891</f>
        <v>32908.5</v>
      </c>
    </row>
    <row r="872" spans="1:9" ht="27" x14ac:dyDescent="0.2">
      <c r="A872" s="38" t="s">
        <v>586</v>
      </c>
      <c r="B872" s="32" t="s">
        <v>585</v>
      </c>
      <c r="C872" s="32" t="s">
        <v>206</v>
      </c>
      <c r="D872" s="32" t="s">
        <v>206</v>
      </c>
      <c r="E872" s="32" t="s">
        <v>587</v>
      </c>
      <c r="F872" s="32"/>
      <c r="G872" s="33">
        <f>G873</f>
        <v>38897.436000000002</v>
      </c>
      <c r="H872" s="33">
        <f t="shared" ref="H872:I872" si="246">H873</f>
        <v>32908.5</v>
      </c>
      <c r="I872" s="33">
        <f t="shared" si="246"/>
        <v>32908.5</v>
      </c>
    </row>
    <row r="873" spans="1:9" x14ac:dyDescent="0.2">
      <c r="A873" s="29" t="s">
        <v>637</v>
      </c>
      <c r="B873" s="30" t="s">
        <v>585</v>
      </c>
      <c r="C873" s="30" t="s">
        <v>206</v>
      </c>
      <c r="D873" s="30" t="s">
        <v>206</v>
      </c>
      <c r="E873" s="30" t="s">
        <v>590</v>
      </c>
      <c r="F873" s="36"/>
      <c r="G873" s="31">
        <f>G874+G883</f>
        <v>38897.436000000002</v>
      </c>
      <c r="H873" s="31">
        <f>H874+H883</f>
        <v>32908.5</v>
      </c>
      <c r="I873" s="31">
        <f>I874+I883</f>
        <v>32908.5</v>
      </c>
    </row>
    <row r="874" spans="1:9" ht="14.25" customHeight="1" x14ac:dyDescent="0.2">
      <c r="A874" s="29" t="s">
        <v>649</v>
      </c>
      <c r="B874" s="30" t="s">
        <v>585</v>
      </c>
      <c r="C874" s="30" t="s">
        <v>206</v>
      </c>
      <c r="D874" s="30" t="s">
        <v>206</v>
      </c>
      <c r="E874" s="30" t="s">
        <v>590</v>
      </c>
      <c r="F874" s="36"/>
      <c r="G874" s="31">
        <f>G875+G878</f>
        <v>24072.493999999999</v>
      </c>
      <c r="H874" s="31">
        <f>H875+H878</f>
        <v>20932.099999999999</v>
      </c>
      <c r="I874" s="31">
        <f>I875+I878</f>
        <v>20932.099999999999</v>
      </c>
    </row>
    <row r="875" spans="1:9" x14ac:dyDescent="0.2">
      <c r="A875" s="29" t="s">
        <v>492</v>
      </c>
      <c r="B875" s="30" t="s">
        <v>585</v>
      </c>
      <c r="C875" s="30" t="s">
        <v>206</v>
      </c>
      <c r="D875" s="30" t="s">
        <v>206</v>
      </c>
      <c r="E875" s="30" t="s">
        <v>650</v>
      </c>
      <c r="F875" s="30"/>
      <c r="G875" s="31">
        <f>G876</f>
        <v>22342.493999999999</v>
      </c>
      <c r="H875" s="31">
        <f t="shared" ref="H875:I876" si="247">H876</f>
        <v>19202.099999999999</v>
      </c>
      <c r="I875" s="31">
        <f t="shared" si="247"/>
        <v>19202.099999999999</v>
      </c>
    </row>
    <row r="876" spans="1:9" ht="24" x14ac:dyDescent="0.2">
      <c r="A876" s="35" t="s">
        <v>185</v>
      </c>
      <c r="B876" s="36" t="s">
        <v>585</v>
      </c>
      <c r="C876" s="36" t="s">
        <v>206</v>
      </c>
      <c r="D876" s="36" t="s">
        <v>206</v>
      </c>
      <c r="E876" s="36" t="s">
        <v>650</v>
      </c>
      <c r="F876" s="36" t="s">
        <v>186</v>
      </c>
      <c r="G876" s="37">
        <f>G877</f>
        <v>22342.493999999999</v>
      </c>
      <c r="H876" s="37">
        <f t="shared" si="247"/>
        <v>19202.099999999999</v>
      </c>
      <c r="I876" s="37">
        <f t="shared" si="247"/>
        <v>19202.099999999999</v>
      </c>
    </row>
    <row r="877" spans="1:9" x14ac:dyDescent="0.2">
      <c r="A877" s="35" t="s">
        <v>187</v>
      </c>
      <c r="B877" s="36" t="s">
        <v>585</v>
      </c>
      <c r="C877" s="36" t="s">
        <v>206</v>
      </c>
      <c r="D877" s="36" t="s">
        <v>206</v>
      </c>
      <c r="E877" s="36" t="s">
        <v>650</v>
      </c>
      <c r="F877" s="36" t="s">
        <v>188</v>
      </c>
      <c r="G877" s="37">
        <f>19202.1+3140.394</f>
        <v>22342.493999999999</v>
      </c>
      <c r="H877" s="37">
        <v>19202.099999999999</v>
      </c>
      <c r="I877" s="37">
        <v>19202.099999999999</v>
      </c>
    </row>
    <row r="878" spans="1:9" x14ac:dyDescent="0.2">
      <c r="A878" s="29" t="s">
        <v>193</v>
      </c>
      <c r="B878" s="30" t="s">
        <v>585</v>
      </c>
      <c r="C878" s="30" t="s">
        <v>206</v>
      </c>
      <c r="D878" s="30" t="s">
        <v>206</v>
      </c>
      <c r="E878" s="30" t="s">
        <v>651</v>
      </c>
      <c r="F878" s="30"/>
      <c r="G878" s="31">
        <f>G879+G881</f>
        <v>1730</v>
      </c>
      <c r="H878" s="31">
        <f>H879+H881</f>
        <v>1730</v>
      </c>
      <c r="I878" s="31">
        <f>I879+I881</f>
        <v>1730</v>
      </c>
    </row>
    <row r="879" spans="1:9" x14ac:dyDescent="0.2">
      <c r="A879" s="35" t="s">
        <v>195</v>
      </c>
      <c r="B879" s="36" t="s">
        <v>585</v>
      </c>
      <c r="C879" s="36" t="s">
        <v>206</v>
      </c>
      <c r="D879" s="36" t="s">
        <v>206</v>
      </c>
      <c r="E879" s="36" t="s">
        <v>651</v>
      </c>
      <c r="F879" s="36" t="s">
        <v>196</v>
      </c>
      <c r="G879" s="37">
        <f>G880</f>
        <v>1700</v>
      </c>
      <c r="H879" s="37">
        <f t="shared" ref="H879:I879" si="248">H880</f>
        <v>1700</v>
      </c>
      <c r="I879" s="37">
        <f t="shared" si="248"/>
        <v>1700</v>
      </c>
    </row>
    <row r="880" spans="1:9" x14ac:dyDescent="0.2">
      <c r="A880" s="35" t="s">
        <v>197</v>
      </c>
      <c r="B880" s="36" t="s">
        <v>585</v>
      </c>
      <c r="C880" s="36" t="s">
        <v>206</v>
      </c>
      <c r="D880" s="36" t="s">
        <v>206</v>
      </c>
      <c r="E880" s="36" t="s">
        <v>651</v>
      </c>
      <c r="F880" s="36" t="s">
        <v>198</v>
      </c>
      <c r="G880" s="37">
        <v>1700</v>
      </c>
      <c r="H880" s="37">
        <v>1700</v>
      </c>
      <c r="I880" s="37">
        <v>1700</v>
      </c>
    </row>
    <row r="881" spans="1:9" x14ac:dyDescent="0.2">
      <c r="A881" s="35" t="s">
        <v>199</v>
      </c>
      <c r="B881" s="36" t="s">
        <v>585</v>
      </c>
      <c r="C881" s="36" t="s">
        <v>206</v>
      </c>
      <c r="D881" s="36" t="s">
        <v>206</v>
      </c>
      <c r="E881" s="36" t="s">
        <v>651</v>
      </c>
      <c r="F881" s="36" t="s">
        <v>200</v>
      </c>
      <c r="G881" s="37">
        <f>G882</f>
        <v>30</v>
      </c>
      <c r="H881" s="37">
        <f t="shared" ref="H881:I881" si="249">H882</f>
        <v>30</v>
      </c>
      <c r="I881" s="37">
        <f t="shared" si="249"/>
        <v>30</v>
      </c>
    </row>
    <row r="882" spans="1:9" x14ac:dyDescent="0.2">
      <c r="A882" s="35" t="s">
        <v>201</v>
      </c>
      <c r="B882" s="36" t="s">
        <v>585</v>
      </c>
      <c r="C882" s="36" t="s">
        <v>206</v>
      </c>
      <c r="D882" s="36" t="s">
        <v>206</v>
      </c>
      <c r="E882" s="36" t="s">
        <v>651</v>
      </c>
      <c r="F882" s="36" t="s">
        <v>202</v>
      </c>
      <c r="G882" s="37">
        <v>30</v>
      </c>
      <c r="H882" s="37">
        <v>30</v>
      </c>
      <c r="I882" s="37">
        <v>30</v>
      </c>
    </row>
    <row r="883" spans="1:9" x14ac:dyDescent="0.2">
      <c r="A883" s="50" t="s">
        <v>652</v>
      </c>
      <c r="B883" s="30" t="s">
        <v>585</v>
      </c>
      <c r="C883" s="30" t="s">
        <v>206</v>
      </c>
      <c r="D883" s="30" t="s">
        <v>206</v>
      </c>
      <c r="E883" s="51" t="s">
        <v>653</v>
      </c>
      <c r="F883" s="30"/>
      <c r="G883" s="31">
        <f>G884</f>
        <v>14824.942000000001</v>
      </c>
      <c r="H883" s="31">
        <f t="shared" ref="H883:I883" si="250">H884</f>
        <v>11976.4</v>
      </c>
      <c r="I883" s="31">
        <f t="shared" si="250"/>
        <v>11976.4</v>
      </c>
    </row>
    <row r="884" spans="1:9" x14ac:dyDescent="0.2">
      <c r="A884" s="52" t="s">
        <v>263</v>
      </c>
      <c r="B884" s="49" t="s">
        <v>585</v>
      </c>
      <c r="C884" s="49" t="s">
        <v>206</v>
      </c>
      <c r="D884" s="49" t="s">
        <v>206</v>
      </c>
      <c r="E884" s="49" t="s">
        <v>653</v>
      </c>
      <c r="F884" s="49"/>
      <c r="G884" s="53">
        <f>G885+G887+G889</f>
        <v>14824.942000000001</v>
      </c>
      <c r="H884" s="53">
        <f>H885+H887+H889</f>
        <v>11976.4</v>
      </c>
      <c r="I884" s="53">
        <f>I885+I887+I889</f>
        <v>11976.4</v>
      </c>
    </row>
    <row r="885" spans="1:9" ht="24" x14ac:dyDescent="0.2">
      <c r="A885" s="35" t="s">
        <v>185</v>
      </c>
      <c r="B885" s="36" t="s">
        <v>585</v>
      </c>
      <c r="C885" s="36" t="s">
        <v>206</v>
      </c>
      <c r="D885" s="36" t="s">
        <v>206</v>
      </c>
      <c r="E885" s="36" t="s">
        <v>653</v>
      </c>
      <c r="F885" s="36" t="s">
        <v>186</v>
      </c>
      <c r="G885" s="37">
        <f>G886</f>
        <v>12511.542000000001</v>
      </c>
      <c r="H885" s="37">
        <f t="shared" ref="H885:I885" si="251">H886</f>
        <v>10413</v>
      </c>
      <c r="I885" s="37">
        <f t="shared" si="251"/>
        <v>10413</v>
      </c>
    </row>
    <row r="886" spans="1:9" x14ac:dyDescent="0.2">
      <c r="A886" s="35" t="s">
        <v>266</v>
      </c>
      <c r="B886" s="36" t="s">
        <v>585</v>
      </c>
      <c r="C886" s="36" t="s">
        <v>206</v>
      </c>
      <c r="D886" s="36" t="s">
        <v>206</v>
      </c>
      <c r="E886" s="36" t="s">
        <v>653</v>
      </c>
      <c r="F886" s="36" t="s">
        <v>267</v>
      </c>
      <c r="G886" s="37">
        <f>10413+430.058+1668.484</f>
        <v>12511.542000000001</v>
      </c>
      <c r="H886" s="37">
        <v>10413</v>
      </c>
      <c r="I886" s="37">
        <v>10413</v>
      </c>
    </row>
    <row r="887" spans="1:9" x14ac:dyDescent="0.2">
      <c r="A887" s="35" t="s">
        <v>195</v>
      </c>
      <c r="B887" s="36" t="s">
        <v>585</v>
      </c>
      <c r="C887" s="36" t="s">
        <v>206</v>
      </c>
      <c r="D887" s="36" t="s">
        <v>206</v>
      </c>
      <c r="E887" s="36" t="s">
        <v>653</v>
      </c>
      <c r="F887" s="36" t="s">
        <v>196</v>
      </c>
      <c r="G887" s="37">
        <f>G888</f>
        <v>678.4</v>
      </c>
      <c r="H887" s="37">
        <f t="shared" ref="H887:I887" si="252">H888</f>
        <v>678.4</v>
      </c>
      <c r="I887" s="37">
        <f t="shared" si="252"/>
        <v>678.4</v>
      </c>
    </row>
    <row r="888" spans="1:9" x14ac:dyDescent="0.2">
      <c r="A888" s="35" t="s">
        <v>197</v>
      </c>
      <c r="B888" s="36" t="s">
        <v>585</v>
      </c>
      <c r="C888" s="36" t="s">
        <v>206</v>
      </c>
      <c r="D888" s="36" t="s">
        <v>206</v>
      </c>
      <c r="E888" s="36" t="s">
        <v>653</v>
      </c>
      <c r="F888" s="36" t="s">
        <v>198</v>
      </c>
      <c r="G888" s="37">
        <f>678.4</f>
        <v>678.4</v>
      </c>
      <c r="H888" s="37">
        <v>678.4</v>
      </c>
      <c r="I888" s="37">
        <v>678.4</v>
      </c>
    </row>
    <row r="889" spans="1:9" x14ac:dyDescent="0.2">
      <c r="A889" s="35" t="s">
        <v>199</v>
      </c>
      <c r="B889" s="36" t="s">
        <v>585</v>
      </c>
      <c r="C889" s="36" t="s">
        <v>206</v>
      </c>
      <c r="D889" s="36" t="s">
        <v>206</v>
      </c>
      <c r="E889" s="36" t="s">
        <v>653</v>
      </c>
      <c r="F889" s="36" t="s">
        <v>200</v>
      </c>
      <c r="G889" s="37">
        <f>G890</f>
        <v>1635</v>
      </c>
      <c r="H889" s="37">
        <f t="shared" ref="H889:I889" si="253">H890</f>
        <v>885</v>
      </c>
      <c r="I889" s="37">
        <f t="shared" si="253"/>
        <v>885</v>
      </c>
    </row>
    <row r="890" spans="1:9" x14ac:dyDescent="0.2">
      <c r="A890" s="35" t="s">
        <v>201</v>
      </c>
      <c r="B890" s="36" t="s">
        <v>585</v>
      </c>
      <c r="C890" s="36" t="s">
        <v>206</v>
      </c>
      <c r="D890" s="36" t="s">
        <v>206</v>
      </c>
      <c r="E890" s="36" t="s">
        <v>653</v>
      </c>
      <c r="F890" s="36" t="s">
        <v>202</v>
      </c>
      <c r="G890" s="37">
        <f>885+750</f>
        <v>1635</v>
      </c>
      <c r="H890" s="37">
        <v>885</v>
      </c>
      <c r="I890" s="37">
        <v>885</v>
      </c>
    </row>
    <row r="891" spans="1:9" x14ac:dyDescent="0.2">
      <c r="A891" s="129" t="s">
        <v>178</v>
      </c>
      <c r="B891" s="83" t="s">
        <v>585</v>
      </c>
      <c r="C891" s="83" t="s">
        <v>206</v>
      </c>
      <c r="D891" s="83" t="s">
        <v>206</v>
      </c>
      <c r="E891" s="83" t="s">
        <v>189</v>
      </c>
      <c r="F891" s="83"/>
      <c r="G891" s="145">
        <f t="shared" ref="G891:H894" si="254">G892</f>
        <v>770.63314000000003</v>
      </c>
      <c r="H891" s="247">
        <f t="shared" si="254"/>
        <v>0</v>
      </c>
      <c r="I891" s="41"/>
    </row>
    <row r="892" spans="1:9" x14ac:dyDescent="0.2">
      <c r="A892" s="75" t="s">
        <v>180</v>
      </c>
      <c r="B892" s="74" t="s">
        <v>585</v>
      </c>
      <c r="C892" s="74" t="s">
        <v>206</v>
      </c>
      <c r="D892" s="74" t="s">
        <v>206</v>
      </c>
      <c r="E892" s="74" t="s">
        <v>190</v>
      </c>
      <c r="F892" s="12"/>
      <c r="G892" s="127">
        <f t="shared" si="254"/>
        <v>770.63314000000003</v>
      </c>
      <c r="H892" s="248">
        <f t="shared" si="254"/>
        <v>0</v>
      </c>
      <c r="I892" s="37"/>
    </row>
    <row r="893" spans="1:9" x14ac:dyDescent="0.2">
      <c r="A893" s="75" t="s">
        <v>203</v>
      </c>
      <c r="B893" s="74" t="s">
        <v>585</v>
      </c>
      <c r="C893" s="74" t="s">
        <v>206</v>
      </c>
      <c r="D893" s="74" t="s">
        <v>206</v>
      </c>
      <c r="E893" s="74" t="s">
        <v>204</v>
      </c>
      <c r="F893" s="74"/>
      <c r="G893" s="127">
        <f t="shared" si="254"/>
        <v>770.63314000000003</v>
      </c>
      <c r="H893" s="248">
        <f t="shared" si="254"/>
        <v>0</v>
      </c>
      <c r="I893" s="37"/>
    </row>
    <row r="894" spans="1:9" ht="24" x14ac:dyDescent="0.2">
      <c r="A894" s="73" t="s">
        <v>185</v>
      </c>
      <c r="B894" s="12" t="s">
        <v>585</v>
      </c>
      <c r="C894" s="12" t="s">
        <v>206</v>
      </c>
      <c r="D894" s="12" t="s">
        <v>206</v>
      </c>
      <c r="E894" s="12" t="s">
        <v>204</v>
      </c>
      <c r="F894" s="12" t="s">
        <v>186</v>
      </c>
      <c r="G894" s="115">
        <f t="shared" si="254"/>
        <v>770.63314000000003</v>
      </c>
      <c r="H894" s="249">
        <f t="shared" si="254"/>
        <v>0</v>
      </c>
      <c r="I894" s="37"/>
    </row>
    <row r="895" spans="1:9" x14ac:dyDescent="0.2">
      <c r="A895" s="73" t="s">
        <v>187</v>
      </c>
      <c r="B895" s="12" t="s">
        <v>585</v>
      </c>
      <c r="C895" s="12" t="s">
        <v>206</v>
      </c>
      <c r="D895" s="12" t="s">
        <v>206</v>
      </c>
      <c r="E895" s="12" t="s">
        <v>204</v>
      </c>
      <c r="F895" s="12" t="s">
        <v>188</v>
      </c>
      <c r="G895" s="115">
        <v>770.63314000000003</v>
      </c>
      <c r="H895" s="249">
        <v>0</v>
      </c>
      <c r="I895" s="37"/>
    </row>
    <row r="896" spans="1:9" ht="15.75" x14ac:dyDescent="0.2">
      <c r="A896" s="200" t="s">
        <v>654</v>
      </c>
      <c r="B896" s="34" t="s">
        <v>359</v>
      </c>
      <c r="C896" s="205"/>
      <c r="D896" s="205"/>
      <c r="E896" s="34"/>
      <c r="F896" s="34"/>
      <c r="G896" s="201">
        <f>G897+G918</f>
        <v>27707.720800000006</v>
      </c>
      <c r="H896" s="201">
        <f>H897+H918</f>
        <v>45477.1</v>
      </c>
      <c r="I896" s="201">
        <f>I897+I918</f>
        <v>25165.143099999994</v>
      </c>
    </row>
    <row r="897" spans="1:9" x14ac:dyDescent="0.2">
      <c r="A897" s="29" t="s">
        <v>172</v>
      </c>
      <c r="B897" s="30" t="s">
        <v>359</v>
      </c>
      <c r="C897" s="30" t="s">
        <v>173</v>
      </c>
      <c r="D897" s="30" t="s">
        <v>174</v>
      </c>
      <c r="E897" s="30"/>
      <c r="F897" s="30"/>
      <c r="G897" s="31">
        <f>G898+G912</f>
        <v>26304.460800000004</v>
      </c>
      <c r="H897" s="31">
        <f>H898+H912</f>
        <v>22077.1</v>
      </c>
      <c r="I897" s="31">
        <f>I898+I912</f>
        <v>22077.1</v>
      </c>
    </row>
    <row r="898" spans="1:9" ht="24" x14ac:dyDescent="0.2">
      <c r="A898" s="29" t="s">
        <v>655</v>
      </c>
      <c r="B898" s="30" t="s">
        <v>359</v>
      </c>
      <c r="C898" s="30" t="s">
        <v>173</v>
      </c>
      <c r="D898" s="30" t="s">
        <v>656</v>
      </c>
      <c r="E898" s="30"/>
      <c r="F898" s="30"/>
      <c r="G898" s="31">
        <f>G899</f>
        <v>26052.760800000004</v>
      </c>
      <c r="H898" s="31">
        <f t="shared" ref="H898:I899" si="255">H899</f>
        <v>22077.1</v>
      </c>
      <c r="I898" s="31">
        <f t="shared" si="255"/>
        <v>22077.1</v>
      </c>
    </row>
    <row r="899" spans="1:9" x14ac:dyDescent="0.2">
      <c r="A899" s="39" t="s">
        <v>657</v>
      </c>
      <c r="B899" s="40" t="s">
        <v>359</v>
      </c>
      <c r="C899" s="40" t="s">
        <v>173</v>
      </c>
      <c r="D899" s="40" t="s">
        <v>656</v>
      </c>
      <c r="E899" s="40" t="s">
        <v>189</v>
      </c>
      <c r="F899" s="36"/>
      <c r="G899" s="31">
        <f>G900</f>
        <v>26052.760800000004</v>
      </c>
      <c r="H899" s="31">
        <f t="shared" si="255"/>
        <v>22077.1</v>
      </c>
      <c r="I899" s="31">
        <f t="shared" si="255"/>
        <v>22077.1</v>
      </c>
    </row>
    <row r="900" spans="1:9" x14ac:dyDescent="0.2">
      <c r="A900" s="29" t="s">
        <v>180</v>
      </c>
      <c r="B900" s="30" t="s">
        <v>359</v>
      </c>
      <c r="C900" s="30" t="s">
        <v>173</v>
      </c>
      <c r="D900" s="30" t="s">
        <v>656</v>
      </c>
      <c r="E900" s="30" t="s">
        <v>190</v>
      </c>
      <c r="F900" s="49"/>
      <c r="G900" s="41">
        <f>G901+G904+G909</f>
        <v>26052.760800000004</v>
      </c>
      <c r="H900" s="41">
        <f>H901+H904+H909</f>
        <v>22077.1</v>
      </c>
      <c r="I900" s="41">
        <f>I901+I904+I909</f>
        <v>22077.1</v>
      </c>
    </row>
    <row r="901" spans="1:9" x14ac:dyDescent="0.2">
      <c r="A901" s="29" t="s">
        <v>658</v>
      </c>
      <c r="B901" s="30" t="s">
        <v>359</v>
      </c>
      <c r="C901" s="30" t="s">
        <v>173</v>
      </c>
      <c r="D901" s="30" t="s">
        <v>656</v>
      </c>
      <c r="E901" s="30" t="s">
        <v>192</v>
      </c>
      <c r="F901" s="36"/>
      <c r="G901" s="31">
        <f t="shared" ref="G901:I902" si="256">G902</f>
        <v>21695.714</v>
      </c>
      <c r="H901" s="31">
        <f t="shared" si="256"/>
        <v>17967.099999999999</v>
      </c>
      <c r="I901" s="31">
        <f t="shared" si="256"/>
        <v>17967.099999999999</v>
      </c>
    </row>
    <row r="902" spans="1:9" ht="24" x14ac:dyDescent="0.2">
      <c r="A902" s="35" t="s">
        <v>185</v>
      </c>
      <c r="B902" s="36" t="s">
        <v>359</v>
      </c>
      <c r="C902" s="36" t="s">
        <v>173</v>
      </c>
      <c r="D902" s="36" t="s">
        <v>656</v>
      </c>
      <c r="E902" s="36" t="s">
        <v>192</v>
      </c>
      <c r="F902" s="36" t="s">
        <v>186</v>
      </c>
      <c r="G902" s="37">
        <f t="shared" si="256"/>
        <v>21695.714</v>
      </c>
      <c r="H902" s="37">
        <f t="shared" si="256"/>
        <v>17967.099999999999</v>
      </c>
      <c r="I902" s="37">
        <f t="shared" si="256"/>
        <v>17967.099999999999</v>
      </c>
    </row>
    <row r="903" spans="1:9" x14ac:dyDescent="0.2">
      <c r="A903" s="35" t="s">
        <v>187</v>
      </c>
      <c r="B903" s="36" t="s">
        <v>359</v>
      </c>
      <c r="C903" s="36" t="s">
        <v>173</v>
      </c>
      <c r="D903" s="36" t="s">
        <v>656</v>
      </c>
      <c r="E903" s="36" t="s">
        <v>192</v>
      </c>
      <c r="F903" s="36" t="s">
        <v>188</v>
      </c>
      <c r="G903" s="37">
        <f>17967.1+3728.614</f>
        <v>21695.714</v>
      </c>
      <c r="H903" s="37">
        <v>17967.099999999999</v>
      </c>
      <c r="I903" s="37">
        <v>17967.099999999999</v>
      </c>
    </row>
    <row r="904" spans="1:9" x14ac:dyDescent="0.2">
      <c r="A904" s="29" t="s">
        <v>659</v>
      </c>
      <c r="B904" s="30" t="s">
        <v>359</v>
      </c>
      <c r="C904" s="30" t="s">
        <v>173</v>
      </c>
      <c r="D904" s="30" t="s">
        <v>656</v>
      </c>
      <c r="E904" s="30" t="s">
        <v>194</v>
      </c>
      <c r="F904" s="30"/>
      <c r="G904" s="31">
        <f>G905+G907</f>
        <v>3668.9814800000004</v>
      </c>
      <c r="H904" s="31">
        <f>H905+H907</f>
        <v>4110</v>
      </c>
      <c r="I904" s="31">
        <f>I905+I907</f>
        <v>4110</v>
      </c>
    </row>
    <row r="905" spans="1:9" x14ac:dyDescent="0.2">
      <c r="A905" s="35" t="s">
        <v>195</v>
      </c>
      <c r="B905" s="36" t="s">
        <v>359</v>
      </c>
      <c r="C905" s="36" t="s">
        <v>173</v>
      </c>
      <c r="D905" s="36" t="s">
        <v>656</v>
      </c>
      <c r="E905" s="36" t="s">
        <v>194</v>
      </c>
      <c r="F905" s="36" t="s">
        <v>196</v>
      </c>
      <c r="G905" s="37">
        <f>G906</f>
        <v>3663.9814800000004</v>
      </c>
      <c r="H905" s="37">
        <f>H906</f>
        <v>4105</v>
      </c>
      <c r="I905" s="37">
        <f>I906</f>
        <v>4105</v>
      </c>
    </row>
    <row r="906" spans="1:9" x14ac:dyDescent="0.2">
      <c r="A906" s="35" t="s">
        <v>197</v>
      </c>
      <c r="B906" s="36" t="s">
        <v>359</v>
      </c>
      <c r="C906" s="36" t="s">
        <v>173</v>
      </c>
      <c r="D906" s="36" t="s">
        <v>656</v>
      </c>
      <c r="E906" s="36" t="s">
        <v>194</v>
      </c>
      <c r="F906" s="36" t="s">
        <v>198</v>
      </c>
      <c r="G906" s="37">
        <f>4105-209.662-31.35652-200</f>
        <v>3663.9814800000004</v>
      </c>
      <c r="H906" s="37">
        <v>4105</v>
      </c>
      <c r="I906" s="37">
        <v>4105</v>
      </c>
    </row>
    <row r="907" spans="1:9" x14ac:dyDescent="0.2">
      <c r="A907" s="35" t="s">
        <v>199</v>
      </c>
      <c r="B907" s="36" t="s">
        <v>359</v>
      </c>
      <c r="C907" s="36" t="s">
        <v>173</v>
      </c>
      <c r="D907" s="36" t="s">
        <v>656</v>
      </c>
      <c r="E907" s="36" t="s">
        <v>194</v>
      </c>
      <c r="F907" s="36" t="s">
        <v>200</v>
      </c>
      <c r="G907" s="37">
        <f>G908</f>
        <v>5</v>
      </c>
      <c r="H907" s="37">
        <f>H908</f>
        <v>5</v>
      </c>
      <c r="I907" s="37">
        <f>I908</f>
        <v>5</v>
      </c>
    </row>
    <row r="908" spans="1:9" x14ac:dyDescent="0.2">
      <c r="A908" s="35" t="s">
        <v>201</v>
      </c>
      <c r="B908" s="36" t="s">
        <v>359</v>
      </c>
      <c r="C908" s="36" t="s">
        <v>173</v>
      </c>
      <c r="D908" s="36" t="s">
        <v>656</v>
      </c>
      <c r="E908" s="36" t="s">
        <v>194</v>
      </c>
      <c r="F908" s="36" t="s">
        <v>202</v>
      </c>
      <c r="G908" s="37">
        <v>5</v>
      </c>
      <c r="H908" s="37">
        <v>5</v>
      </c>
      <c r="I908" s="37">
        <v>5</v>
      </c>
    </row>
    <row r="909" spans="1:9" x14ac:dyDescent="0.2">
      <c r="A909" s="75" t="s">
        <v>203</v>
      </c>
      <c r="B909" s="74" t="s">
        <v>359</v>
      </c>
      <c r="C909" s="74" t="s">
        <v>173</v>
      </c>
      <c r="D909" s="74" t="s">
        <v>656</v>
      </c>
      <c r="E909" s="74" t="s">
        <v>204</v>
      </c>
      <c r="F909" s="74"/>
      <c r="G909" s="127">
        <f t="shared" ref="G909:I910" si="257">G910</f>
        <v>688.06532000000004</v>
      </c>
      <c r="H909" s="248">
        <f t="shared" si="257"/>
        <v>0</v>
      </c>
      <c r="I909" s="248">
        <f t="shared" si="257"/>
        <v>0</v>
      </c>
    </row>
    <row r="910" spans="1:9" ht="24" x14ac:dyDescent="0.2">
      <c r="A910" s="73" t="s">
        <v>185</v>
      </c>
      <c r="B910" s="12" t="s">
        <v>359</v>
      </c>
      <c r="C910" s="12" t="s">
        <v>173</v>
      </c>
      <c r="D910" s="12" t="s">
        <v>656</v>
      </c>
      <c r="E910" s="12" t="s">
        <v>204</v>
      </c>
      <c r="F910" s="12" t="s">
        <v>186</v>
      </c>
      <c r="G910" s="115">
        <f t="shared" si="257"/>
        <v>688.06532000000004</v>
      </c>
      <c r="H910" s="249">
        <f t="shared" si="257"/>
        <v>0</v>
      </c>
      <c r="I910" s="249">
        <f t="shared" si="257"/>
        <v>0</v>
      </c>
    </row>
    <row r="911" spans="1:9" x14ac:dyDescent="0.2">
      <c r="A911" s="73" t="s">
        <v>187</v>
      </c>
      <c r="B911" s="12" t="s">
        <v>359</v>
      </c>
      <c r="C911" s="12" t="s">
        <v>173</v>
      </c>
      <c r="D911" s="12" t="s">
        <v>656</v>
      </c>
      <c r="E911" s="12" t="s">
        <v>204</v>
      </c>
      <c r="F911" s="12" t="s">
        <v>188</v>
      </c>
      <c r="G911" s="115">
        <v>688.06532000000004</v>
      </c>
      <c r="H911" s="249">
        <v>0</v>
      </c>
      <c r="I911" s="249">
        <v>0</v>
      </c>
    </row>
    <row r="912" spans="1:9" x14ac:dyDescent="0.2">
      <c r="A912" s="29" t="s">
        <v>215</v>
      </c>
      <c r="B912" s="30" t="s">
        <v>359</v>
      </c>
      <c r="C912" s="30" t="s">
        <v>173</v>
      </c>
      <c r="D912" s="30" t="s">
        <v>216</v>
      </c>
      <c r="E912" s="36"/>
      <c r="F912" s="30"/>
      <c r="G912" s="31">
        <f t="shared" ref="G912:I916" si="258">G913</f>
        <v>251.7</v>
      </c>
      <c r="H912" s="45">
        <f t="shared" si="258"/>
        <v>0</v>
      </c>
      <c r="I912" s="45">
        <f t="shared" si="258"/>
        <v>0</v>
      </c>
    </row>
    <row r="913" spans="1:9" x14ac:dyDescent="0.2">
      <c r="A913" s="39" t="s">
        <v>178</v>
      </c>
      <c r="B913" s="40" t="s">
        <v>359</v>
      </c>
      <c r="C913" s="40" t="s">
        <v>173</v>
      </c>
      <c r="D913" s="40" t="s">
        <v>216</v>
      </c>
      <c r="E913" s="40" t="s">
        <v>189</v>
      </c>
      <c r="F913" s="40"/>
      <c r="G913" s="41">
        <f t="shared" si="258"/>
        <v>251.7</v>
      </c>
      <c r="H913" s="47">
        <f t="shared" si="258"/>
        <v>0</v>
      </c>
      <c r="I913" s="47">
        <f t="shared" si="258"/>
        <v>0</v>
      </c>
    </row>
    <row r="914" spans="1:9" x14ac:dyDescent="0.2">
      <c r="A914" s="29" t="s">
        <v>180</v>
      </c>
      <c r="B914" s="30" t="s">
        <v>359</v>
      </c>
      <c r="C914" s="30" t="s">
        <v>173</v>
      </c>
      <c r="D914" s="30" t="s">
        <v>216</v>
      </c>
      <c r="E914" s="30" t="s">
        <v>190</v>
      </c>
      <c r="F914" s="55"/>
      <c r="G914" s="31">
        <f>G915</f>
        <v>251.7</v>
      </c>
      <c r="H914" s="45">
        <f t="shared" si="258"/>
        <v>0</v>
      </c>
      <c r="I914" s="45">
        <f t="shared" si="258"/>
        <v>0</v>
      </c>
    </row>
    <row r="915" spans="1:9" x14ac:dyDescent="0.2">
      <c r="A915" s="39" t="s">
        <v>270</v>
      </c>
      <c r="B915" s="40" t="s">
        <v>359</v>
      </c>
      <c r="C915" s="40" t="s">
        <v>173</v>
      </c>
      <c r="D915" s="40" t="s">
        <v>216</v>
      </c>
      <c r="E915" s="43" t="s">
        <v>271</v>
      </c>
      <c r="F915" s="40"/>
      <c r="G915" s="41">
        <f>G916</f>
        <v>251.7</v>
      </c>
      <c r="H915" s="47">
        <f t="shared" si="258"/>
        <v>0</v>
      </c>
      <c r="I915" s="47">
        <f t="shared" si="258"/>
        <v>0</v>
      </c>
    </row>
    <row r="916" spans="1:9" x14ac:dyDescent="0.2">
      <c r="A916" s="35" t="s">
        <v>199</v>
      </c>
      <c r="B916" s="36" t="s">
        <v>359</v>
      </c>
      <c r="C916" s="36" t="s">
        <v>173</v>
      </c>
      <c r="D916" s="36" t="s">
        <v>216</v>
      </c>
      <c r="E916" s="44" t="s">
        <v>271</v>
      </c>
      <c r="F916" s="36" t="s">
        <v>200</v>
      </c>
      <c r="G916" s="37">
        <f>G917</f>
        <v>251.7</v>
      </c>
      <c r="H916" s="46">
        <f t="shared" si="258"/>
        <v>0</v>
      </c>
      <c r="I916" s="46">
        <f t="shared" si="258"/>
        <v>0</v>
      </c>
    </row>
    <row r="917" spans="1:9" x14ac:dyDescent="0.2">
      <c r="A917" s="35" t="s">
        <v>272</v>
      </c>
      <c r="B917" s="36" t="s">
        <v>359</v>
      </c>
      <c r="C917" s="36" t="s">
        <v>173</v>
      </c>
      <c r="D917" s="36" t="s">
        <v>216</v>
      </c>
      <c r="E917" s="44" t="s">
        <v>271</v>
      </c>
      <c r="F917" s="36" t="s">
        <v>273</v>
      </c>
      <c r="G917" s="37">
        <f>4000-2266-1200-282.3</f>
        <v>251.7</v>
      </c>
      <c r="H917" s="46">
        <v>0</v>
      </c>
      <c r="I917" s="46">
        <v>0</v>
      </c>
    </row>
    <row r="918" spans="1:9" x14ac:dyDescent="0.2">
      <c r="A918" s="29" t="s">
        <v>660</v>
      </c>
      <c r="B918" s="30" t="s">
        <v>359</v>
      </c>
      <c r="C918" s="30" t="s">
        <v>216</v>
      </c>
      <c r="D918" s="30" t="s">
        <v>174</v>
      </c>
      <c r="E918" s="30"/>
      <c r="F918" s="30"/>
      <c r="G918" s="31">
        <f t="shared" ref="G918:I922" si="259">G919</f>
        <v>1403.2600000000016</v>
      </c>
      <c r="H918" s="31">
        <f t="shared" si="259"/>
        <v>23400</v>
      </c>
      <c r="I918" s="31">
        <f t="shared" si="259"/>
        <v>3088.0430999999953</v>
      </c>
    </row>
    <row r="919" spans="1:9" x14ac:dyDescent="0.2">
      <c r="A919" s="29" t="s">
        <v>180</v>
      </c>
      <c r="B919" s="30" t="s">
        <v>359</v>
      </c>
      <c r="C919" s="30" t="s">
        <v>216</v>
      </c>
      <c r="D919" s="30" t="s">
        <v>173</v>
      </c>
      <c r="E919" s="51" t="s">
        <v>190</v>
      </c>
      <c r="F919" s="30"/>
      <c r="G919" s="31">
        <f t="shared" si="259"/>
        <v>1403.2600000000016</v>
      </c>
      <c r="H919" s="31">
        <f t="shared" si="259"/>
        <v>23400</v>
      </c>
      <c r="I919" s="31">
        <f t="shared" si="259"/>
        <v>3088.0430999999953</v>
      </c>
    </row>
    <row r="920" spans="1:9" x14ac:dyDescent="0.2">
      <c r="A920" s="29" t="s">
        <v>661</v>
      </c>
      <c r="B920" s="30" t="s">
        <v>359</v>
      </c>
      <c r="C920" s="30" t="s">
        <v>216</v>
      </c>
      <c r="D920" s="30" t="s">
        <v>173</v>
      </c>
      <c r="E920" s="30" t="s">
        <v>662</v>
      </c>
      <c r="F920" s="30"/>
      <c r="G920" s="31">
        <f t="shared" si="259"/>
        <v>1403.2600000000016</v>
      </c>
      <c r="H920" s="31">
        <f t="shared" si="259"/>
        <v>23400</v>
      </c>
      <c r="I920" s="31">
        <f t="shared" si="259"/>
        <v>3088.0430999999953</v>
      </c>
    </row>
    <row r="921" spans="1:9" x14ac:dyDescent="0.2">
      <c r="A921" s="52" t="s">
        <v>663</v>
      </c>
      <c r="B921" s="49" t="s">
        <v>359</v>
      </c>
      <c r="C921" s="49" t="s">
        <v>216</v>
      </c>
      <c r="D921" s="49" t="s">
        <v>173</v>
      </c>
      <c r="E921" s="209" t="s">
        <v>662</v>
      </c>
      <c r="F921" s="49"/>
      <c r="G921" s="53">
        <f t="shared" si="259"/>
        <v>1403.2600000000016</v>
      </c>
      <c r="H921" s="53">
        <f t="shared" si="259"/>
        <v>23400</v>
      </c>
      <c r="I921" s="53">
        <f t="shared" si="259"/>
        <v>3088.0430999999953</v>
      </c>
    </row>
    <row r="922" spans="1:9" x14ac:dyDescent="0.2">
      <c r="A922" s="35" t="s">
        <v>664</v>
      </c>
      <c r="B922" s="36" t="s">
        <v>359</v>
      </c>
      <c r="C922" s="36" t="s">
        <v>216</v>
      </c>
      <c r="D922" s="36" t="s">
        <v>173</v>
      </c>
      <c r="E922" s="36" t="s">
        <v>662</v>
      </c>
      <c r="F922" s="36" t="s">
        <v>665</v>
      </c>
      <c r="G922" s="37">
        <f t="shared" si="259"/>
        <v>1403.2600000000016</v>
      </c>
      <c r="H922" s="37">
        <f t="shared" si="259"/>
        <v>23400</v>
      </c>
      <c r="I922" s="37">
        <f t="shared" si="259"/>
        <v>3088.0430999999953</v>
      </c>
    </row>
    <row r="923" spans="1:9" x14ac:dyDescent="0.2">
      <c r="A923" s="35" t="s">
        <v>666</v>
      </c>
      <c r="B923" s="36" t="s">
        <v>359</v>
      </c>
      <c r="C923" s="36" t="s">
        <v>216</v>
      </c>
      <c r="D923" s="36" t="s">
        <v>173</v>
      </c>
      <c r="E923" s="36" t="s">
        <v>662</v>
      </c>
      <c r="F923" s="36" t="s">
        <v>667</v>
      </c>
      <c r="G923" s="37">
        <f>73000-51352.1-2000-17000-973-271.64</f>
        <v>1403.2600000000016</v>
      </c>
      <c r="H923" s="37">
        <f>103000-30000-49600</f>
        <v>23400</v>
      </c>
      <c r="I923" s="37">
        <f>103000-30000-69911.9569</f>
        <v>3088.0430999999953</v>
      </c>
    </row>
    <row r="924" spans="1:9" ht="15.75" x14ac:dyDescent="0.2">
      <c r="A924" s="200" t="s">
        <v>668</v>
      </c>
      <c r="B924" s="34" t="s">
        <v>669</v>
      </c>
      <c r="C924" s="34"/>
      <c r="D924" s="34"/>
      <c r="E924" s="34"/>
      <c r="F924" s="34"/>
      <c r="G924" s="201">
        <f>G925+G946</f>
        <v>21088.832550000003</v>
      </c>
      <c r="H924" s="201">
        <f>H925+H946</f>
        <v>19386.5</v>
      </c>
      <c r="I924" s="201">
        <f>I925+I946</f>
        <v>19386.5</v>
      </c>
    </row>
    <row r="925" spans="1:9" x14ac:dyDescent="0.2">
      <c r="A925" s="29" t="s">
        <v>172</v>
      </c>
      <c r="B925" s="30" t="s">
        <v>669</v>
      </c>
      <c r="C925" s="30" t="s">
        <v>173</v>
      </c>
      <c r="D925" s="30" t="s">
        <v>174</v>
      </c>
      <c r="E925" s="30"/>
      <c r="F925" s="30"/>
      <c r="G925" s="31">
        <f>G926+G940</f>
        <v>21015.832550000003</v>
      </c>
      <c r="H925" s="31">
        <f>H926+H940</f>
        <v>18886.5</v>
      </c>
      <c r="I925" s="31">
        <f>I926+I940</f>
        <v>18886.5</v>
      </c>
    </row>
    <row r="926" spans="1:9" ht="24" x14ac:dyDescent="0.2">
      <c r="A926" s="29" t="s">
        <v>175</v>
      </c>
      <c r="B926" s="30" t="s">
        <v>669</v>
      </c>
      <c r="C926" s="30" t="s">
        <v>173</v>
      </c>
      <c r="D926" s="30" t="s">
        <v>177</v>
      </c>
      <c r="E926" s="30"/>
      <c r="F926" s="30"/>
      <c r="G926" s="31">
        <f>G927</f>
        <v>20942.832550000003</v>
      </c>
      <c r="H926" s="31">
        <f t="shared" ref="H926:I927" si="260">H927</f>
        <v>18386.5</v>
      </c>
      <c r="I926" s="31">
        <f t="shared" si="260"/>
        <v>18386.5</v>
      </c>
    </row>
    <row r="927" spans="1:9" x14ac:dyDescent="0.2">
      <c r="A927" s="39" t="s">
        <v>178</v>
      </c>
      <c r="B927" s="40" t="s">
        <v>669</v>
      </c>
      <c r="C927" s="40" t="s">
        <v>173</v>
      </c>
      <c r="D927" s="40" t="s">
        <v>177</v>
      </c>
      <c r="E927" s="40" t="s">
        <v>189</v>
      </c>
      <c r="F927" s="40"/>
      <c r="G927" s="41">
        <f>G928</f>
        <v>20942.832550000003</v>
      </c>
      <c r="H927" s="41">
        <f t="shared" si="260"/>
        <v>18386.5</v>
      </c>
      <c r="I927" s="41">
        <f t="shared" si="260"/>
        <v>18386.5</v>
      </c>
    </row>
    <row r="928" spans="1:9" x14ac:dyDescent="0.2">
      <c r="A928" s="29" t="s">
        <v>180</v>
      </c>
      <c r="B928" s="30" t="s">
        <v>669</v>
      </c>
      <c r="C928" s="30" t="s">
        <v>173</v>
      </c>
      <c r="D928" s="30" t="s">
        <v>177</v>
      </c>
      <c r="E928" s="30" t="s">
        <v>190</v>
      </c>
      <c r="F928" s="30"/>
      <c r="G928" s="31">
        <f>G929+G932+G937</f>
        <v>20942.832550000003</v>
      </c>
      <c r="H928" s="31">
        <f>H929+H932+H937</f>
        <v>18386.5</v>
      </c>
      <c r="I928" s="31">
        <f>I929+I932+I937</f>
        <v>18386.5</v>
      </c>
    </row>
    <row r="929" spans="1:9" x14ac:dyDescent="0.2">
      <c r="A929" s="29" t="s">
        <v>183</v>
      </c>
      <c r="B929" s="30" t="s">
        <v>669</v>
      </c>
      <c r="C929" s="30" t="s">
        <v>173</v>
      </c>
      <c r="D929" s="30" t="s">
        <v>177</v>
      </c>
      <c r="E929" s="30" t="s">
        <v>192</v>
      </c>
      <c r="F929" s="30"/>
      <c r="G929" s="31">
        <f t="shared" ref="G929:I930" si="261">G930</f>
        <v>19982.751</v>
      </c>
      <c r="H929" s="31">
        <f t="shared" si="261"/>
        <v>17386.5</v>
      </c>
      <c r="I929" s="31">
        <f t="shared" si="261"/>
        <v>17386.5</v>
      </c>
    </row>
    <row r="930" spans="1:9" ht="24" x14ac:dyDescent="0.2">
      <c r="A930" s="35" t="s">
        <v>185</v>
      </c>
      <c r="B930" s="36" t="s">
        <v>669</v>
      </c>
      <c r="C930" s="36" t="s">
        <v>173</v>
      </c>
      <c r="D930" s="36" t="s">
        <v>177</v>
      </c>
      <c r="E930" s="36" t="s">
        <v>192</v>
      </c>
      <c r="F930" s="36" t="s">
        <v>186</v>
      </c>
      <c r="G930" s="37">
        <f t="shared" si="261"/>
        <v>19982.751</v>
      </c>
      <c r="H930" s="37">
        <f t="shared" si="261"/>
        <v>17386.5</v>
      </c>
      <c r="I930" s="37">
        <f t="shared" si="261"/>
        <v>17386.5</v>
      </c>
    </row>
    <row r="931" spans="1:9" x14ac:dyDescent="0.2">
      <c r="A931" s="35" t="s">
        <v>187</v>
      </c>
      <c r="B931" s="36" t="s">
        <v>669</v>
      </c>
      <c r="C931" s="36" t="s">
        <v>173</v>
      </c>
      <c r="D931" s="36" t="s">
        <v>177</v>
      </c>
      <c r="E931" s="36" t="s">
        <v>192</v>
      </c>
      <c r="F931" s="36" t="s">
        <v>188</v>
      </c>
      <c r="G931" s="37">
        <f>17386.5+2596.251</f>
        <v>19982.751</v>
      </c>
      <c r="H931" s="37">
        <v>17386.5</v>
      </c>
      <c r="I931" s="37">
        <v>17386.5</v>
      </c>
    </row>
    <row r="932" spans="1:9" x14ac:dyDescent="0.2">
      <c r="A932" s="29" t="s">
        <v>193</v>
      </c>
      <c r="B932" s="30" t="s">
        <v>669</v>
      </c>
      <c r="C932" s="30" t="s">
        <v>173</v>
      </c>
      <c r="D932" s="30" t="s">
        <v>177</v>
      </c>
      <c r="E932" s="30" t="s">
        <v>194</v>
      </c>
      <c r="F932" s="30"/>
      <c r="G932" s="31">
        <f>G933+G935</f>
        <v>216.971</v>
      </c>
      <c r="H932" s="31">
        <f>H933+H935</f>
        <v>1000</v>
      </c>
      <c r="I932" s="31">
        <f>I933+I935</f>
        <v>1000</v>
      </c>
    </row>
    <row r="933" spans="1:9" x14ac:dyDescent="0.2">
      <c r="A933" s="35" t="s">
        <v>195</v>
      </c>
      <c r="B933" s="36" t="s">
        <v>669</v>
      </c>
      <c r="C933" s="36" t="s">
        <v>173</v>
      </c>
      <c r="D933" s="36" t="s">
        <v>177</v>
      </c>
      <c r="E933" s="36" t="s">
        <v>194</v>
      </c>
      <c r="F933" s="36" t="s">
        <v>196</v>
      </c>
      <c r="G933" s="37">
        <f>G934</f>
        <v>196.971</v>
      </c>
      <c r="H933" s="37">
        <f>H934</f>
        <v>980</v>
      </c>
      <c r="I933" s="37">
        <f>I934</f>
        <v>980</v>
      </c>
    </row>
    <row r="934" spans="1:9" x14ac:dyDescent="0.2">
      <c r="A934" s="35" t="s">
        <v>197</v>
      </c>
      <c r="B934" s="36" t="s">
        <v>669</v>
      </c>
      <c r="C934" s="36" t="s">
        <v>173</v>
      </c>
      <c r="D934" s="36" t="s">
        <v>177</v>
      </c>
      <c r="E934" s="36" t="s">
        <v>194</v>
      </c>
      <c r="F934" s="36" t="s">
        <v>198</v>
      </c>
      <c r="G934" s="37">
        <f>980-400-100-25-50-300+91.971</f>
        <v>196.971</v>
      </c>
      <c r="H934" s="37">
        <v>980</v>
      </c>
      <c r="I934" s="37">
        <v>980</v>
      </c>
    </row>
    <row r="935" spans="1:9" x14ac:dyDescent="0.2">
      <c r="A935" s="35" t="s">
        <v>199</v>
      </c>
      <c r="B935" s="36" t="s">
        <v>669</v>
      </c>
      <c r="C935" s="36" t="s">
        <v>173</v>
      </c>
      <c r="D935" s="36" t="s">
        <v>177</v>
      </c>
      <c r="E935" s="36" t="s">
        <v>194</v>
      </c>
      <c r="F935" s="36" t="s">
        <v>200</v>
      </c>
      <c r="G935" s="37">
        <f>G936</f>
        <v>20</v>
      </c>
      <c r="H935" s="37">
        <f t="shared" ref="H935:I935" si="262">H936</f>
        <v>20</v>
      </c>
      <c r="I935" s="37">
        <f t="shared" si="262"/>
        <v>20</v>
      </c>
    </row>
    <row r="936" spans="1:9" x14ac:dyDescent="0.2">
      <c r="A936" s="35" t="s">
        <v>201</v>
      </c>
      <c r="B936" s="36" t="s">
        <v>669</v>
      </c>
      <c r="C936" s="36" t="s">
        <v>173</v>
      </c>
      <c r="D936" s="36" t="s">
        <v>177</v>
      </c>
      <c r="E936" s="36" t="s">
        <v>194</v>
      </c>
      <c r="F936" s="36" t="s">
        <v>202</v>
      </c>
      <c r="G936" s="37">
        <v>20</v>
      </c>
      <c r="H936" s="37">
        <v>20</v>
      </c>
      <c r="I936" s="37">
        <v>20</v>
      </c>
    </row>
    <row r="937" spans="1:9" x14ac:dyDescent="0.2">
      <c r="A937" s="75" t="s">
        <v>203</v>
      </c>
      <c r="B937" s="74" t="s">
        <v>669</v>
      </c>
      <c r="C937" s="74" t="s">
        <v>173</v>
      </c>
      <c r="D937" s="74" t="s">
        <v>177</v>
      </c>
      <c r="E937" s="74" t="s">
        <v>204</v>
      </c>
      <c r="F937" s="74"/>
      <c r="G937" s="127">
        <f t="shared" ref="G937:H938" si="263">G938</f>
        <v>743.11054999999999</v>
      </c>
      <c r="H937" s="248">
        <f t="shared" si="263"/>
        <v>0</v>
      </c>
      <c r="I937" s="37"/>
    </row>
    <row r="938" spans="1:9" ht="24" x14ac:dyDescent="0.2">
      <c r="A938" s="73" t="s">
        <v>185</v>
      </c>
      <c r="B938" s="12" t="s">
        <v>669</v>
      </c>
      <c r="C938" s="12" t="s">
        <v>173</v>
      </c>
      <c r="D938" s="12" t="s">
        <v>177</v>
      </c>
      <c r="E938" s="12" t="s">
        <v>204</v>
      </c>
      <c r="F938" s="12" t="s">
        <v>186</v>
      </c>
      <c r="G938" s="115">
        <f t="shared" si="263"/>
        <v>743.11054999999999</v>
      </c>
      <c r="H938" s="249">
        <f t="shared" si="263"/>
        <v>0</v>
      </c>
      <c r="I938" s="37"/>
    </row>
    <row r="939" spans="1:9" x14ac:dyDescent="0.2">
      <c r="A939" s="73" t="s">
        <v>187</v>
      </c>
      <c r="B939" s="12" t="s">
        <v>669</v>
      </c>
      <c r="C939" s="12" t="s">
        <v>173</v>
      </c>
      <c r="D939" s="12" t="s">
        <v>177</v>
      </c>
      <c r="E939" s="12" t="s">
        <v>204</v>
      </c>
      <c r="F939" s="12" t="s">
        <v>188</v>
      </c>
      <c r="G939" s="115">
        <v>743.11054999999999</v>
      </c>
      <c r="H939" s="249">
        <v>0</v>
      </c>
      <c r="I939" s="37"/>
    </row>
    <row r="940" spans="1:9" x14ac:dyDescent="0.2">
      <c r="A940" s="29" t="s">
        <v>215</v>
      </c>
      <c r="B940" s="30" t="s">
        <v>669</v>
      </c>
      <c r="C940" s="30" t="s">
        <v>173</v>
      </c>
      <c r="D940" s="30" t="s">
        <v>216</v>
      </c>
      <c r="E940" s="36"/>
      <c r="F940" s="30"/>
      <c r="G940" s="45">
        <f>G941</f>
        <v>73</v>
      </c>
      <c r="H940" s="45">
        <f t="shared" ref="H940:I941" si="264">H941</f>
        <v>500</v>
      </c>
      <c r="I940" s="45">
        <f t="shared" si="264"/>
        <v>500</v>
      </c>
    </row>
    <row r="941" spans="1:9" x14ac:dyDescent="0.2">
      <c r="A941" s="39" t="s">
        <v>178</v>
      </c>
      <c r="B941" s="40" t="s">
        <v>669</v>
      </c>
      <c r="C941" s="40" t="s">
        <v>173</v>
      </c>
      <c r="D941" s="40" t="s">
        <v>216</v>
      </c>
      <c r="E941" s="40" t="s">
        <v>189</v>
      </c>
      <c r="F941" s="40"/>
      <c r="G941" s="47">
        <f>G942</f>
        <v>73</v>
      </c>
      <c r="H941" s="47">
        <f t="shared" si="264"/>
        <v>500</v>
      </c>
      <c r="I941" s="47">
        <f t="shared" si="264"/>
        <v>500</v>
      </c>
    </row>
    <row r="942" spans="1:9" x14ac:dyDescent="0.2">
      <c r="A942" s="29" t="s">
        <v>180</v>
      </c>
      <c r="B942" s="30" t="s">
        <v>669</v>
      </c>
      <c r="C942" s="30" t="s">
        <v>173</v>
      </c>
      <c r="D942" s="30" t="s">
        <v>216</v>
      </c>
      <c r="E942" s="30" t="s">
        <v>190</v>
      </c>
      <c r="F942" s="212"/>
      <c r="G942" s="45">
        <f>G943</f>
        <v>73</v>
      </c>
      <c r="H942" s="45">
        <f>H943</f>
        <v>500</v>
      </c>
      <c r="I942" s="45">
        <f>I943</f>
        <v>500</v>
      </c>
    </row>
    <row r="943" spans="1:9" ht="15" customHeight="1" x14ac:dyDescent="0.2">
      <c r="A943" s="39" t="s">
        <v>278</v>
      </c>
      <c r="B943" s="40" t="s">
        <v>669</v>
      </c>
      <c r="C943" s="40" t="s">
        <v>173</v>
      </c>
      <c r="D943" s="40" t="s">
        <v>216</v>
      </c>
      <c r="E943" s="40" t="s">
        <v>279</v>
      </c>
      <c r="F943" s="56"/>
      <c r="G943" s="41">
        <f t="shared" ref="G943:I944" si="265">G944</f>
        <v>73</v>
      </c>
      <c r="H943" s="41">
        <f t="shared" si="265"/>
        <v>500</v>
      </c>
      <c r="I943" s="41">
        <f t="shared" si="265"/>
        <v>500</v>
      </c>
    </row>
    <row r="944" spans="1:9" x14ac:dyDescent="0.2">
      <c r="A944" s="35" t="s">
        <v>195</v>
      </c>
      <c r="B944" s="36" t="s">
        <v>669</v>
      </c>
      <c r="C944" s="36" t="s">
        <v>173</v>
      </c>
      <c r="D944" s="36" t="s">
        <v>216</v>
      </c>
      <c r="E944" s="36" t="s">
        <v>279</v>
      </c>
      <c r="F944" s="48">
        <v>200</v>
      </c>
      <c r="G944" s="37">
        <f t="shared" si="265"/>
        <v>73</v>
      </c>
      <c r="H944" s="37">
        <f t="shared" si="265"/>
        <v>500</v>
      </c>
      <c r="I944" s="37">
        <f t="shared" si="265"/>
        <v>500</v>
      </c>
    </row>
    <row r="945" spans="1:9" x14ac:dyDescent="0.2">
      <c r="A945" s="35" t="s">
        <v>197</v>
      </c>
      <c r="B945" s="48">
        <v>611</v>
      </c>
      <c r="C945" s="36" t="s">
        <v>173</v>
      </c>
      <c r="D945" s="36" t="s">
        <v>216</v>
      </c>
      <c r="E945" s="36" t="s">
        <v>279</v>
      </c>
      <c r="F945" s="36" t="s">
        <v>198</v>
      </c>
      <c r="G945" s="37">
        <f>1073-200-800</f>
        <v>73</v>
      </c>
      <c r="H945" s="37">
        <v>500</v>
      </c>
      <c r="I945" s="37">
        <v>500</v>
      </c>
    </row>
    <row r="946" spans="1:9" x14ac:dyDescent="0.2">
      <c r="A946" s="29" t="s">
        <v>290</v>
      </c>
      <c r="B946" s="30" t="s">
        <v>669</v>
      </c>
      <c r="C946" s="30" t="s">
        <v>177</v>
      </c>
      <c r="D946" s="30" t="s">
        <v>174</v>
      </c>
      <c r="E946" s="30"/>
      <c r="F946" s="30"/>
      <c r="G946" s="31">
        <f>G947</f>
        <v>73</v>
      </c>
      <c r="H946" s="31">
        <f t="shared" ref="H946:I946" si="266">H947</f>
        <v>500</v>
      </c>
      <c r="I946" s="31">
        <f t="shared" si="266"/>
        <v>500</v>
      </c>
    </row>
    <row r="947" spans="1:9" x14ac:dyDescent="0.2">
      <c r="A947" s="29" t="s">
        <v>291</v>
      </c>
      <c r="B947" s="30" t="s">
        <v>669</v>
      </c>
      <c r="C947" s="30" t="s">
        <v>177</v>
      </c>
      <c r="D947" s="30" t="s">
        <v>292</v>
      </c>
      <c r="E947" s="40"/>
      <c r="F947" s="40"/>
      <c r="G947" s="31">
        <f t="shared" ref="G947:I951" si="267">G948</f>
        <v>73</v>
      </c>
      <c r="H947" s="31">
        <f t="shared" si="267"/>
        <v>500</v>
      </c>
      <c r="I947" s="31">
        <f t="shared" si="267"/>
        <v>500</v>
      </c>
    </row>
    <row r="948" spans="1:9" x14ac:dyDescent="0.2">
      <c r="A948" s="39" t="s">
        <v>178</v>
      </c>
      <c r="B948" s="40" t="s">
        <v>669</v>
      </c>
      <c r="C948" s="40" t="s">
        <v>177</v>
      </c>
      <c r="D948" s="40" t="s">
        <v>292</v>
      </c>
      <c r="E948" s="40" t="s">
        <v>189</v>
      </c>
      <c r="F948" s="40"/>
      <c r="G948" s="41">
        <f t="shared" si="267"/>
        <v>73</v>
      </c>
      <c r="H948" s="41">
        <f t="shared" si="267"/>
        <v>500</v>
      </c>
      <c r="I948" s="41">
        <f t="shared" si="267"/>
        <v>500</v>
      </c>
    </row>
    <row r="949" spans="1:9" x14ac:dyDescent="0.2">
      <c r="A949" s="29" t="s">
        <v>180</v>
      </c>
      <c r="B949" s="55">
        <v>611</v>
      </c>
      <c r="C949" s="30" t="s">
        <v>177</v>
      </c>
      <c r="D949" s="30" t="s">
        <v>292</v>
      </c>
      <c r="E949" s="30" t="s">
        <v>190</v>
      </c>
      <c r="F949" s="30"/>
      <c r="G949" s="31">
        <f t="shared" si="267"/>
        <v>73</v>
      </c>
      <c r="H949" s="31">
        <f t="shared" si="267"/>
        <v>500</v>
      </c>
      <c r="I949" s="31">
        <f t="shared" si="267"/>
        <v>500</v>
      </c>
    </row>
    <row r="950" spans="1:9" x14ac:dyDescent="0.2">
      <c r="A950" s="39" t="s">
        <v>315</v>
      </c>
      <c r="B950" s="56">
        <v>611</v>
      </c>
      <c r="C950" s="40" t="s">
        <v>177</v>
      </c>
      <c r="D950" s="40" t="s">
        <v>292</v>
      </c>
      <c r="E950" s="40" t="s">
        <v>316</v>
      </c>
      <c r="F950" s="40"/>
      <c r="G950" s="41">
        <f t="shared" si="267"/>
        <v>73</v>
      </c>
      <c r="H950" s="41">
        <f t="shared" si="267"/>
        <v>500</v>
      </c>
      <c r="I950" s="41">
        <f t="shared" si="267"/>
        <v>500</v>
      </c>
    </row>
    <row r="951" spans="1:9" x14ac:dyDescent="0.2">
      <c r="A951" s="35" t="s">
        <v>195</v>
      </c>
      <c r="B951" s="36" t="s">
        <v>669</v>
      </c>
      <c r="C951" s="36" t="s">
        <v>177</v>
      </c>
      <c r="D951" s="36" t="s">
        <v>292</v>
      </c>
      <c r="E951" s="36" t="s">
        <v>316</v>
      </c>
      <c r="F951" s="48">
        <v>200</v>
      </c>
      <c r="G951" s="37">
        <f t="shared" si="267"/>
        <v>73</v>
      </c>
      <c r="H951" s="37">
        <f t="shared" si="267"/>
        <v>500</v>
      </c>
      <c r="I951" s="37">
        <f t="shared" si="267"/>
        <v>500</v>
      </c>
    </row>
    <row r="952" spans="1:9" x14ac:dyDescent="0.2">
      <c r="A952" s="35" t="s">
        <v>197</v>
      </c>
      <c r="B952" s="48">
        <v>611</v>
      </c>
      <c r="C952" s="36" t="s">
        <v>177</v>
      </c>
      <c r="D952" s="36" t="s">
        <v>292</v>
      </c>
      <c r="E952" s="36" t="s">
        <v>316</v>
      </c>
      <c r="F952" s="36" t="s">
        <v>198</v>
      </c>
      <c r="G952" s="37">
        <f>1073-200-800</f>
        <v>73</v>
      </c>
      <c r="H952" s="37">
        <v>500</v>
      </c>
      <c r="I952" s="37">
        <v>500</v>
      </c>
    </row>
    <row r="953" spans="1:9" ht="15.75" x14ac:dyDescent="0.2">
      <c r="A953" s="200" t="s">
        <v>670</v>
      </c>
      <c r="B953" s="34" t="s">
        <v>671</v>
      </c>
      <c r="C953" s="34"/>
      <c r="D953" s="34"/>
      <c r="E953" s="34"/>
      <c r="F953" s="34"/>
      <c r="G953" s="201">
        <f>G954+G1066</f>
        <v>3912887.1334000002</v>
      </c>
      <c r="H953" s="201">
        <f>H954+H1066</f>
        <v>3973931.2039999999</v>
      </c>
      <c r="I953" s="201">
        <f>I954+I1066</f>
        <v>4018976.952</v>
      </c>
    </row>
    <row r="954" spans="1:9" x14ac:dyDescent="0.2">
      <c r="A954" s="29" t="s">
        <v>374</v>
      </c>
      <c r="B954" s="30" t="s">
        <v>671</v>
      </c>
      <c r="C954" s="30" t="s">
        <v>375</v>
      </c>
      <c r="D954" s="30" t="s">
        <v>174</v>
      </c>
      <c r="E954" s="30"/>
      <c r="F954" s="30"/>
      <c r="G954" s="31">
        <f>G955+G966+G1006+G1018+G1012</f>
        <v>3874590.0134000001</v>
      </c>
      <c r="H954" s="31">
        <f>H955+H966+H1006+H1018</f>
        <v>3955791.2039999999</v>
      </c>
      <c r="I954" s="31">
        <f>I955+I966+I1006+I1018</f>
        <v>4000836.952</v>
      </c>
    </row>
    <row r="955" spans="1:9" x14ac:dyDescent="0.2">
      <c r="A955" s="29" t="s">
        <v>672</v>
      </c>
      <c r="B955" s="30" t="s">
        <v>671</v>
      </c>
      <c r="C955" s="30" t="s">
        <v>375</v>
      </c>
      <c r="D955" s="30" t="s">
        <v>173</v>
      </c>
      <c r="E955" s="30"/>
      <c r="F955" s="30"/>
      <c r="G955" s="31">
        <f t="shared" ref="G955:I956" si="268">G956</f>
        <v>1712744.4100000001</v>
      </c>
      <c r="H955" s="31">
        <f t="shared" si="268"/>
        <v>1848447.3</v>
      </c>
      <c r="I955" s="31">
        <f t="shared" si="268"/>
        <v>1871984.8</v>
      </c>
    </row>
    <row r="956" spans="1:9" ht="13.5" x14ac:dyDescent="0.2">
      <c r="A956" s="38" t="s">
        <v>673</v>
      </c>
      <c r="B956" s="32" t="s">
        <v>671</v>
      </c>
      <c r="C956" s="32" t="s">
        <v>375</v>
      </c>
      <c r="D956" s="32" t="s">
        <v>173</v>
      </c>
      <c r="E956" s="32" t="s">
        <v>674</v>
      </c>
      <c r="F956" s="32"/>
      <c r="G956" s="33">
        <f t="shared" si="268"/>
        <v>1712744.4100000001</v>
      </c>
      <c r="H956" s="33">
        <f t="shared" si="268"/>
        <v>1848447.3</v>
      </c>
      <c r="I956" s="33">
        <f t="shared" si="268"/>
        <v>1871984.8</v>
      </c>
    </row>
    <row r="957" spans="1:9" x14ac:dyDescent="0.2">
      <c r="A957" s="29" t="s">
        <v>675</v>
      </c>
      <c r="B957" s="30" t="s">
        <v>671</v>
      </c>
      <c r="C957" s="30" t="s">
        <v>375</v>
      </c>
      <c r="D957" s="30" t="s">
        <v>173</v>
      </c>
      <c r="E957" s="30" t="s">
        <v>676</v>
      </c>
      <c r="F957" s="30"/>
      <c r="G957" s="31">
        <f>G958+G962</f>
        <v>1712744.4100000001</v>
      </c>
      <c r="H957" s="31">
        <f>H958+H962</f>
        <v>1848447.3</v>
      </c>
      <c r="I957" s="31">
        <f>I958+I962</f>
        <v>1871984.8</v>
      </c>
    </row>
    <row r="958" spans="1:9" ht="15" customHeight="1" x14ac:dyDescent="0.2">
      <c r="A958" s="39" t="s">
        <v>677</v>
      </c>
      <c r="B958" s="40" t="s">
        <v>671</v>
      </c>
      <c r="C958" s="40" t="s">
        <v>375</v>
      </c>
      <c r="D958" s="40" t="s">
        <v>173</v>
      </c>
      <c r="E958" s="40" t="s">
        <v>678</v>
      </c>
      <c r="F958" s="40"/>
      <c r="G958" s="41">
        <f>G959</f>
        <v>694000.3</v>
      </c>
      <c r="H958" s="41">
        <f>H959</f>
        <v>727613.3</v>
      </c>
      <c r="I958" s="41">
        <f>I959</f>
        <v>727613.3</v>
      </c>
    </row>
    <row r="959" spans="1:9" x14ac:dyDescent="0.2">
      <c r="A959" s="35" t="s">
        <v>356</v>
      </c>
      <c r="B959" s="36" t="s">
        <v>671</v>
      </c>
      <c r="C959" s="36" t="s">
        <v>375</v>
      </c>
      <c r="D959" s="36" t="s">
        <v>173</v>
      </c>
      <c r="E959" s="36" t="s">
        <v>679</v>
      </c>
      <c r="F959" s="36" t="s">
        <v>357</v>
      </c>
      <c r="G959" s="37">
        <f>G960+G961</f>
        <v>694000.3</v>
      </c>
      <c r="H959" s="37">
        <f>H960+H961</f>
        <v>727613.3</v>
      </c>
      <c r="I959" s="37">
        <f>I960+I961</f>
        <v>727613.3</v>
      </c>
    </row>
    <row r="960" spans="1:9" x14ac:dyDescent="0.2">
      <c r="A960" s="35" t="s">
        <v>358</v>
      </c>
      <c r="B960" s="44">
        <v>612</v>
      </c>
      <c r="C960" s="36" t="s">
        <v>375</v>
      </c>
      <c r="D960" s="36" t="s">
        <v>173</v>
      </c>
      <c r="E960" s="36" t="s">
        <v>679</v>
      </c>
      <c r="F960" s="36" t="s">
        <v>359</v>
      </c>
      <c r="G960" s="37">
        <f>657455.3-3393-10000-10000-7500-220-2500-6719.416</f>
        <v>617122.88400000008</v>
      </c>
      <c r="H960" s="37">
        <v>657455.30000000005</v>
      </c>
      <c r="I960" s="37">
        <v>657455.30000000005</v>
      </c>
    </row>
    <row r="961" spans="1:9" x14ac:dyDescent="0.2">
      <c r="A961" s="35" t="s">
        <v>383</v>
      </c>
      <c r="B961" s="44">
        <v>612</v>
      </c>
      <c r="C961" s="36" t="s">
        <v>375</v>
      </c>
      <c r="D961" s="36" t="s">
        <v>173</v>
      </c>
      <c r="E961" s="36" t="s">
        <v>679</v>
      </c>
      <c r="F961" s="36" t="s">
        <v>384</v>
      </c>
      <c r="G961" s="37">
        <f>70158+6719.416</f>
        <v>76877.415999999997</v>
      </c>
      <c r="H961" s="37">
        <v>70158</v>
      </c>
      <c r="I961" s="37">
        <v>70158</v>
      </c>
    </row>
    <row r="962" spans="1:9" ht="36" x14ac:dyDescent="0.2">
      <c r="A962" s="39" t="s">
        <v>680</v>
      </c>
      <c r="B962" s="43">
        <v>612</v>
      </c>
      <c r="C962" s="40" t="s">
        <v>375</v>
      </c>
      <c r="D962" s="40" t="s">
        <v>173</v>
      </c>
      <c r="E962" s="40" t="s">
        <v>681</v>
      </c>
      <c r="F962" s="40"/>
      <c r="G962" s="41">
        <f>G963</f>
        <v>1018744.11</v>
      </c>
      <c r="H962" s="41">
        <f>H963</f>
        <v>1120834</v>
      </c>
      <c r="I962" s="41">
        <f>I963</f>
        <v>1144371.5</v>
      </c>
    </row>
    <row r="963" spans="1:9" x14ac:dyDescent="0.2">
      <c r="A963" s="35" t="s">
        <v>356</v>
      </c>
      <c r="B963" s="44">
        <v>612</v>
      </c>
      <c r="C963" s="36" t="s">
        <v>375</v>
      </c>
      <c r="D963" s="36" t="s">
        <v>173</v>
      </c>
      <c r="E963" s="36" t="s">
        <v>681</v>
      </c>
      <c r="F963" s="36" t="s">
        <v>357</v>
      </c>
      <c r="G963" s="37">
        <f>G964+G965</f>
        <v>1018744.11</v>
      </c>
      <c r="H963" s="37">
        <f>H964+H965</f>
        <v>1120834</v>
      </c>
      <c r="I963" s="37">
        <f>I964+I965</f>
        <v>1144371.5</v>
      </c>
    </row>
    <row r="964" spans="1:9" x14ac:dyDescent="0.2">
      <c r="A964" s="35" t="s">
        <v>358</v>
      </c>
      <c r="B964" s="44">
        <v>612</v>
      </c>
      <c r="C964" s="36" t="s">
        <v>375</v>
      </c>
      <c r="D964" s="36" t="s">
        <v>173</v>
      </c>
      <c r="E964" s="36" t="s">
        <v>681</v>
      </c>
      <c r="F964" s="36" t="s">
        <v>359</v>
      </c>
      <c r="G964" s="37">
        <f>979805+28000-20000-63690.99</f>
        <v>924114.01</v>
      </c>
      <c r="H964" s="37">
        <v>1032310.7</v>
      </c>
      <c r="I964" s="37">
        <v>1055848.2</v>
      </c>
    </row>
    <row r="965" spans="1:9" x14ac:dyDescent="0.2">
      <c r="A965" s="35" t="s">
        <v>383</v>
      </c>
      <c r="B965" s="44">
        <v>612</v>
      </c>
      <c r="C965" s="36" t="s">
        <v>375</v>
      </c>
      <c r="D965" s="36" t="s">
        <v>173</v>
      </c>
      <c r="E965" s="36" t="s">
        <v>681</v>
      </c>
      <c r="F965" s="36" t="s">
        <v>384</v>
      </c>
      <c r="G965" s="37">
        <f>98523.3+2673-6566.2</f>
        <v>94630.1</v>
      </c>
      <c r="H965" s="37">
        <v>88523.3</v>
      </c>
      <c r="I965" s="37">
        <v>88523.3</v>
      </c>
    </row>
    <row r="966" spans="1:9" x14ac:dyDescent="0.2">
      <c r="A966" s="29" t="s">
        <v>682</v>
      </c>
      <c r="B966" s="51">
        <v>612</v>
      </c>
      <c r="C966" s="30" t="s">
        <v>375</v>
      </c>
      <c r="D966" s="30" t="s">
        <v>352</v>
      </c>
      <c r="E966" s="30"/>
      <c r="F966" s="40"/>
      <c r="G966" s="31">
        <f>G967</f>
        <v>1882912.88069</v>
      </c>
      <c r="H966" s="31">
        <f t="shared" ref="H966:I966" si="269">H967</f>
        <v>1881457.4040000001</v>
      </c>
      <c r="I966" s="31">
        <f t="shared" si="269"/>
        <v>1902965.652</v>
      </c>
    </row>
    <row r="967" spans="1:9" ht="13.5" x14ac:dyDescent="0.2">
      <c r="A967" s="38" t="s">
        <v>673</v>
      </c>
      <c r="B967" s="32" t="s">
        <v>671</v>
      </c>
      <c r="C967" s="32" t="s">
        <v>375</v>
      </c>
      <c r="D967" s="32" t="s">
        <v>352</v>
      </c>
      <c r="E967" s="32" t="s">
        <v>674</v>
      </c>
      <c r="F967" s="32"/>
      <c r="G967" s="33">
        <f>G968+G1001</f>
        <v>1882912.88069</v>
      </c>
      <c r="H967" s="33">
        <f>H968+H1001</f>
        <v>1881457.4040000001</v>
      </c>
      <c r="I967" s="33">
        <f>I968+I1001</f>
        <v>1902965.652</v>
      </c>
    </row>
    <row r="968" spans="1:9" x14ac:dyDescent="0.2">
      <c r="A968" s="29" t="s">
        <v>675</v>
      </c>
      <c r="B968" s="30" t="s">
        <v>671</v>
      </c>
      <c r="C968" s="30" t="s">
        <v>375</v>
      </c>
      <c r="D968" s="30" t="s">
        <v>352</v>
      </c>
      <c r="E968" s="30" t="s">
        <v>676</v>
      </c>
      <c r="F968" s="30"/>
      <c r="G968" s="31">
        <f>G969+G973+G977+G981+G985+G989+G993+G997</f>
        <v>1874902.6806900001</v>
      </c>
      <c r="H968" s="31">
        <f>H969+H973+H977+H981+H985+H989+H993+H997</f>
        <v>1873447.2040000001</v>
      </c>
      <c r="I968" s="31">
        <f>I969+I973+I977+I981+I985+I989+I993+I997</f>
        <v>1894955.452</v>
      </c>
    </row>
    <row r="969" spans="1:9" x14ac:dyDescent="0.2">
      <c r="A969" s="52" t="s">
        <v>683</v>
      </c>
      <c r="B969" s="209">
        <v>612</v>
      </c>
      <c r="C969" s="49" t="s">
        <v>375</v>
      </c>
      <c r="D969" s="49" t="s">
        <v>352</v>
      </c>
      <c r="E969" s="49" t="s">
        <v>684</v>
      </c>
      <c r="F969" s="49"/>
      <c r="G969" s="53">
        <f>G970</f>
        <v>353331.3</v>
      </c>
      <c r="H969" s="53">
        <f>H970</f>
        <v>349831.3</v>
      </c>
      <c r="I969" s="53">
        <f>I970</f>
        <v>349831.3</v>
      </c>
    </row>
    <row r="970" spans="1:9" x14ac:dyDescent="0.2">
      <c r="A970" s="35" t="s">
        <v>356</v>
      </c>
      <c r="B970" s="44">
        <v>612</v>
      </c>
      <c r="C970" s="36" t="s">
        <v>375</v>
      </c>
      <c r="D970" s="36" t="s">
        <v>352</v>
      </c>
      <c r="E970" s="36" t="s">
        <v>685</v>
      </c>
      <c r="F970" s="36" t="s">
        <v>357</v>
      </c>
      <c r="G970" s="37">
        <f>G971+G972</f>
        <v>353331.3</v>
      </c>
      <c r="H970" s="37">
        <f>H971+H972</f>
        <v>349831.3</v>
      </c>
      <c r="I970" s="37">
        <f>I971+I972</f>
        <v>349831.3</v>
      </c>
    </row>
    <row r="971" spans="1:9" x14ac:dyDescent="0.2">
      <c r="A971" s="35" t="s">
        <v>358</v>
      </c>
      <c r="B971" s="44">
        <v>612</v>
      </c>
      <c r="C971" s="36" t="s">
        <v>375</v>
      </c>
      <c r="D971" s="36" t="s">
        <v>352</v>
      </c>
      <c r="E971" s="36" t="s">
        <v>685</v>
      </c>
      <c r="F971" s="36" t="s">
        <v>359</v>
      </c>
      <c r="G971" s="37">
        <f>335631.3-2200-4300+10000</f>
        <v>339131.3</v>
      </c>
      <c r="H971" s="37">
        <v>335631.3</v>
      </c>
      <c r="I971" s="37">
        <v>335631.3</v>
      </c>
    </row>
    <row r="972" spans="1:9" x14ac:dyDescent="0.2">
      <c r="A972" s="35" t="s">
        <v>383</v>
      </c>
      <c r="B972" s="44">
        <v>612</v>
      </c>
      <c r="C972" s="36" t="s">
        <v>375</v>
      </c>
      <c r="D972" s="36" t="s">
        <v>352</v>
      </c>
      <c r="E972" s="36" t="s">
        <v>685</v>
      </c>
      <c r="F972" s="36" t="s">
        <v>384</v>
      </c>
      <c r="G972" s="37">
        <v>14200</v>
      </c>
      <c r="H972" s="37">
        <v>14200</v>
      </c>
      <c r="I972" s="37">
        <v>14200</v>
      </c>
    </row>
    <row r="973" spans="1:9" ht="41.25" customHeight="1" x14ac:dyDescent="0.2">
      <c r="A973" s="189" t="s">
        <v>686</v>
      </c>
      <c r="B973" s="40" t="s">
        <v>671</v>
      </c>
      <c r="C973" s="40" t="s">
        <v>375</v>
      </c>
      <c r="D973" s="40" t="s">
        <v>352</v>
      </c>
      <c r="E973" s="40" t="s">
        <v>687</v>
      </c>
      <c r="F973" s="40"/>
      <c r="G973" s="41">
        <f>G974</f>
        <v>1188758.5999999999</v>
      </c>
      <c r="H973" s="41">
        <f>H974</f>
        <v>1241014</v>
      </c>
      <c r="I973" s="41">
        <f>I974</f>
        <v>1267626.8999999999</v>
      </c>
    </row>
    <row r="974" spans="1:9" x14ac:dyDescent="0.2">
      <c r="A974" s="35" t="s">
        <v>356</v>
      </c>
      <c r="B974" s="36" t="s">
        <v>671</v>
      </c>
      <c r="C974" s="36" t="s">
        <v>375</v>
      </c>
      <c r="D974" s="36" t="s">
        <v>352</v>
      </c>
      <c r="E974" s="36" t="s">
        <v>687</v>
      </c>
      <c r="F974" s="36" t="s">
        <v>357</v>
      </c>
      <c r="G974" s="37">
        <f>G975+G976</f>
        <v>1188758.5999999999</v>
      </c>
      <c r="H974" s="37">
        <f>H975+H976</f>
        <v>1241014</v>
      </c>
      <c r="I974" s="37">
        <f>I975+I976</f>
        <v>1267626.8999999999</v>
      </c>
    </row>
    <row r="975" spans="1:9" x14ac:dyDescent="0.2">
      <c r="A975" s="35" t="s">
        <v>358</v>
      </c>
      <c r="B975" s="36" t="s">
        <v>671</v>
      </c>
      <c r="C975" s="36" t="s">
        <v>375</v>
      </c>
      <c r="D975" s="36" t="s">
        <v>352</v>
      </c>
      <c r="E975" s="36" t="s">
        <v>687</v>
      </c>
      <c r="F975" s="36" t="s">
        <v>359</v>
      </c>
      <c r="G975" s="37">
        <f>1170164.4+31000-59959</f>
        <v>1141205.3999999999</v>
      </c>
      <c r="H975" s="37">
        <v>1196639.8</v>
      </c>
      <c r="I975" s="37">
        <v>1223252.7</v>
      </c>
    </row>
    <row r="976" spans="1:9" x14ac:dyDescent="0.2">
      <c r="A976" s="35" t="s">
        <v>383</v>
      </c>
      <c r="B976" s="36" t="s">
        <v>671</v>
      </c>
      <c r="C976" s="36" t="s">
        <v>375</v>
      </c>
      <c r="D976" s="36" t="s">
        <v>352</v>
      </c>
      <c r="E976" s="36" t="s">
        <v>687</v>
      </c>
      <c r="F976" s="36" t="s">
        <v>384</v>
      </c>
      <c r="G976" s="37">
        <f>48374.2+1600-2421</f>
        <v>47553.2</v>
      </c>
      <c r="H976" s="37">
        <v>44374.2</v>
      </c>
      <c r="I976" s="37">
        <v>44374.2</v>
      </c>
    </row>
    <row r="977" spans="1:9" ht="24" x14ac:dyDescent="0.2">
      <c r="A977" s="39" t="s">
        <v>688</v>
      </c>
      <c r="B977" s="40" t="s">
        <v>671</v>
      </c>
      <c r="C977" s="40" t="s">
        <v>375</v>
      </c>
      <c r="D977" s="40" t="s">
        <v>352</v>
      </c>
      <c r="E977" s="40" t="s">
        <v>689</v>
      </c>
      <c r="F977" s="40"/>
      <c r="G977" s="41">
        <f>G978</f>
        <v>99603</v>
      </c>
      <c r="H977" s="41">
        <f t="shared" ref="H977:I977" si="270">H978</f>
        <v>99603</v>
      </c>
      <c r="I977" s="41">
        <f t="shared" si="270"/>
        <v>99603</v>
      </c>
    </row>
    <row r="978" spans="1:9" x14ac:dyDescent="0.2">
      <c r="A978" s="35" t="s">
        <v>356</v>
      </c>
      <c r="B978" s="36" t="s">
        <v>671</v>
      </c>
      <c r="C978" s="36" t="s">
        <v>375</v>
      </c>
      <c r="D978" s="36" t="s">
        <v>352</v>
      </c>
      <c r="E978" s="36" t="s">
        <v>689</v>
      </c>
      <c r="F978" s="36" t="s">
        <v>357</v>
      </c>
      <c r="G978" s="37">
        <f>G979+G980</f>
        <v>99603</v>
      </c>
      <c r="H978" s="37">
        <f>H979+H980</f>
        <v>99603</v>
      </c>
      <c r="I978" s="37">
        <f>I979+I980</f>
        <v>99603</v>
      </c>
    </row>
    <row r="979" spans="1:9" x14ac:dyDescent="0.2">
      <c r="A979" s="35" t="s">
        <v>358</v>
      </c>
      <c r="B979" s="36" t="s">
        <v>671</v>
      </c>
      <c r="C979" s="36" t="s">
        <v>375</v>
      </c>
      <c r="D979" s="36" t="s">
        <v>352</v>
      </c>
      <c r="E979" s="36" t="s">
        <v>689</v>
      </c>
      <c r="F979" s="36" t="s">
        <v>359</v>
      </c>
      <c r="G979" s="37">
        <v>96165.7</v>
      </c>
      <c r="H979" s="37">
        <v>96165.7</v>
      </c>
      <c r="I979" s="37">
        <v>96165.7</v>
      </c>
    </row>
    <row r="980" spans="1:9" x14ac:dyDescent="0.2">
      <c r="A980" s="35" t="s">
        <v>383</v>
      </c>
      <c r="B980" s="36" t="s">
        <v>671</v>
      </c>
      <c r="C980" s="36" t="s">
        <v>375</v>
      </c>
      <c r="D980" s="36" t="s">
        <v>352</v>
      </c>
      <c r="E980" s="36" t="s">
        <v>689</v>
      </c>
      <c r="F980" s="36" t="s">
        <v>384</v>
      </c>
      <c r="G980" s="37">
        <v>3437.3</v>
      </c>
      <c r="H980" s="37">
        <v>3437.3</v>
      </c>
      <c r="I980" s="37">
        <v>3437.3</v>
      </c>
    </row>
    <row r="981" spans="1:9" ht="24" x14ac:dyDescent="0.2">
      <c r="A981" s="39" t="s">
        <v>690</v>
      </c>
      <c r="B981" s="40" t="s">
        <v>671</v>
      </c>
      <c r="C981" s="40" t="s">
        <v>375</v>
      </c>
      <c r="D981" s="40" t="s">
        <v>352</v>
      </c>
      <c r="E981" s="40" t="s">
        <v>691</v>
      </c>
      <c r="F981" s="40"/>
      <c r="G981" s="41">
        <f>G982</f>
        <v>185993.9412</v>
      </c>
      <c r="H981" s="41">
        <f>H982</f>
        <v>174834.304</v>
      </c>
      <c r="I981" s="41">
        <f>I982</f>
        <v>169729.652</v>
      </c>
    </row>
    <row r="982" spans="1:9" x14ac:dyDescent="0.2">
      <c r="A982" s="35" t="s">
        <v>356</v>
      </c>
      <c r="B982" s="36" t="s">
        <v>671</v>
      </c>
      <c r="C982" s="36" t="s">
        <v>375</v>
      </c>
      <c r="D982" s="36" t="s">
        <v>352</v>
      </c>
      <c r="E982" s="36" t="s">
        <v>691</v>
      </c>
      <c r="F982" s="36" t="s">
        <v>357</v>
      </c>
      <c r="G982" s="37">
        <f>G983+G984</f>
        <v>185993.9412</v>
      </c>
      <c r="H982" s="37">
        <f>H983+H984</f>
        <v>174834.304</v>
      </c>
      <c r="I982" s="37">
        <f>I983+I984</f>
        <v>169729.652</v>
      </c>
    </row>
    <row r="983" spans="1:9" x14ac:dyDescent="0.2">
      <c r="A983" s="35" t="s">
        <v>358</v>
      </c>
      <c r="B983" s="36" t="s">
        <v>671</v>
      </c>
      <c r="C983" s="36" t="s">
        <v>375</v>
      </c>
      <c r="D983" s="36" t="s">
        <v>352</v>
      </c>
      <c r="E983" s="36" t="s">
        <v>691</v>
      </c>
      <c r="F983" s="36" t="s">
        <v>359</v>
      </c>
      <c r="G983" s="37">
        <f>169009.304+8108.891+0.0012</f>
        <v>177118.19620000001</v>
      </c>
      <c r="H983" s="37">
        <v>169009.304</v>
      </c>
      <c r="I983" s="37">
        <v>163904.652</v>
      </c>
    </row>
    <row r="984" spans="1:9" x14ac:dyDescent="0.2">
      <c r="A984" s="35" t="s">
        <v>383</v>
      </c>
      <c r="B984" s="36" t="s">
        <v>671</v>
      </c>
      <c r="C984" s="36" t="s">
        <v>375</v>
      </c>
      <c r="D984" s="36" t="s">
        <v>352</v>
      </c>
      <c r="E984" s="36" t="s">
        <v>691</v>
      </c>
      <c r="F984" s="36" t="s">
        <v>384</v>
      </c>
      <c r="G984" s="37">
        <f>5825+3050.745</f>
        <v>8875.744999999999</v>
      </c>
      <c r="H984" s="37">
        <v>5825</v>
      </c>
      <c r="I984" s="37">
        <v>5825</v>
      </c>
    </row>
    <row r="985" spans="1:9" ht="24" x14ac:dyDescent="0.2">
      <c r="A985" s="39" t="s">
        <v>692</v>
      </c>
      <c r="B985" s="40" t="s">
        <v>671</v>
      </c>
      <c r="C985" s="40" t="s">
        <v>375</v>
      </c>
      <c r="D985" s="40" t="s">
        <v>352</v>
      </c>
      <c r="E985" s="40" t="s">
        <v>693</v>
      </c>
      <c r="F985" s="36"/>
      <c r="G985" s="41">
        <f>G986</f>
        <v>35907.192490000001</v>
      </c>
      <c r="H985" s="47">
        <f>H986</f>
        <v>0</v>
      </c>
      <c r="I985" s="47">
        <f>I986</f>
        <v>0</v>
      </c>
    </row>
    <row r="986" spans="1:9" x14ac:dyDescent="0.2">
      <c r="A986" s="35" t="s">
        <v>356</v>
      </c>
      <c r="B986" s="36" t="s">
        <v>671</v>
      </c>
      <c r="C986" s="36" t="s">
        <v>375</v>
      </c>
      <c r="D986" s="36" t="s">
        <v>352</v>
      </c>
      <c r="E986" s="36" t="s">
        <v>693</v>
      </c>
      <c r="F986" s="36" t="s">
        <v>357</v>
      </c>
      <c r="G986" s="37">
        <f>G987+G988</f>
        <v>35907.192490000001</v>
      </c>
      <c r="H986" s="46">
        <f>H987+H988</f>
        <v>0</v>
      </c>
      <c r="I986" s="46">
        <f>I987+I988</f>
        <v>0</v>
      </c>
    </row>
    <row r="987" spans="1:9" x14ac:dyDescent="0.2">
      <c r="A987" s="35" t="s">
        <v>358</v>
      </c>
      <c r="B987" s="36" t="s">
        <v>671</v>
      </c>
      <c r="C987" s="36" t="s">
        <v>375</v>
      </c>
      <c r="D987" s="36" t="s">
        <v>352</v>
      </c>
      <c r="E987" s="36" t="s">
        <v>693</v>
      </c>
      <c r="F987" s="36" t="s">
        <v>359</v>
      </c>
      <c r="G987" s="37">
        <f>30387-11492.80751+15800</f>
        <v>34694.192490000001</v>
      </c>
      <c r="H987" s="46">
        <v>0</v>
      </c>
      <c r="I987" s="46">
        <v>0</v>
      </c>
    </row>
    <row r="988" spans="1:9" x14ac:dyDescent="0.2">
      <c r="A988" s="35" t="s">
        <v>383</v>
      </c>
      <c r="B988" s="36" t="s">
        <v>671</v>
      </c>
      <c r="C988" s="36" t="s">
        <v>375</v>
      </c>
      <c r="D988" s="36" t="s">
        <v>352</v>
      </c>
      <c r="E988" s="36" t="s">
        <v>693</v>
      </c>
      <c r="F988" s="36" t="s">
        <v>384</v>
      </c>
      <c r="G988" s="37">
        <v>1213</v>
      </c>
      <c r="H988" s="46">
        <v>0</v>
      </c>
      <c r="I988" s="46">
        <v>0</v>
      </c>
    </row>
    <row r="989" spans="1:9" ht="24" x14ac:dyDescent="0.2">
      <c r="A989" s="39" t="s">
        <v>694</v>
      </c>
      <c r="B989" s="40" t="s">
        <v>695</v>
      </c>
      <c r="C989" s="40" t="s">
        <v>375</v>
      </c>
      <c r="D989" s="40" t="s">
        <v>352</v>
      </c>
      <c r="E989" s="40" t="s">
        <v>696</v>
      </c>
      <c r="F989" s="36"/>
      <c r="G989" s="47">
        <f>G990</f>
        <v>2114.6469999999999</v>
      </c>
      <c r="H989" s="47">
        <f>H990</f>
        <v>8164.6</v>
      </c>
      <c r="I989" s="47">
        <f>I990</f>
        <v>8164.6</v>
      </c>
    </row>
    <row r="990" spans="1:9" x14ac:dyDescent="0.2">
      <c r="A990" s="35" t="s">
        <v>356</v>
      </c>
      <c r="B990" s="36" t="s">
        <v>671</v>
      </c>
      <c r="C990" s="36" t="s">
        <v>375</v>
      </c>
      <c r="D990" s="36" t="s">
        <v>352</v>
      </c>
      <c r="E990" s="36" t="s">
        <v>696</v>
      </c>
      <c r="F990" s="36" t="s">
        <v>357</v>
      </c>
      <c r="G990" s="46">
        <f>G991+G992</f>
        <v>2114.6469999999999</v>
      </c>
      <c r="H990" s="46">
        <f>H991+H992</f>
        <v>8164.6</v>
      </c>
      <c r="I990" s="46">
        <f>I991+I992</f>
        <v>8164.6</v>
      </c>
    </row>
    <row r="991" spans="1:9" x14ac:dyDescent="0.2">
      <c r="A991" s="35" t="s">
        <v>358</v>
      </c>
      <c r="B991" s="36" t="s">
        <v>671</v>
      </c>
      <c r="C991" s="36" t="s">
        <v>375</v>
      </c>
      <c r="D991" s="36" t="s">
        <v>352</v>
      </c>
      <c r="E991" s="36" t="s">
        <v>696</v>
      </c>
      <c r="F991" s="36" t="s">
        <v>359</v>
      </c>
      <c r="G991" s="46">
        <v>1673.5</v>
      </c>
      <c r="H991" s="46">
        <v>7744.6</v>
      </c>
      <c r="I991" s="46">
        <v>7744.6</v>
      </c>
    </row>
    <row r="992" spans="1:9" x14ac:dyDescent="0.2">
      <c r="A992" s="35" t="s">
        <v>383</v>
      </c>
      <c r="B992" s="36" t="s">
        <v>671</v>
      </c>
      <c r="C992" s="36" t="s">
        <v>375</v>
      </c>
      <c r="D992" s="36" t="s">
        <v>352</v>
      </c>
      <c r="E992" s="36" t="s">
        <v>696</v>
      </c>
      <c r="F992" s="36" t="s">
        <v>384</v>
      </c>
      <c r="G992" s="46">
        <f>420+21.147</f>
        <v>441.14699999999999</v>
      </c>
      <c r="H992" s="46">
        <v>420</v>
      </c>
      <c r="I992" s="46">
        <v>420</v>
      </c>
    </row>
    <row r="993" spans="1:9" ht="24" x14ac:dyDescent="0.2">
      <c r="A993" s="39" t="s">
        <v>697</v>
      </c>
      <c r="B993" s="40" t="s">
        <v>671</v>
      </c>
      <c r="C993" s="40" t="s">
        <v>375</v>
      </c>
      <c r="D993" s="40" t="s">
        <v>352</v>
      </c>
      <c r="E993" s="40" t="s">
        <v>698</v>
      </c>
      <c r="F993" s="36"/>
      <c r="G993" s="47">
        <f>G994</f>
        <v>1594</v>
      </c>
      <c r="H993" s="47">
        <f t="shared" ref="H993:H999" si="271">H994</f>
        <v>0</v>
      </c>
      <c r="I993" s="47">
        <f>I994</f>
        <v>0</v>
      </c>
    </row>
    <row r="994" spans="1:9" x14ac:dyDescent="0.2">
      <c r="A994" s="35" t="s">
        <v>356</v>
      </c>
      <c r="B994" s="36" t="s">
        <v>671</v>
      </c>
      <c r="C994" s="36" t="s">
        <v>375</v>
      </c>
      <c r="D994" s="36" t="s">
        <v>352</v>
      </c>
      <c r="E994" s="36" t="s">
        <v>698</v>
      </c>
      <c r="F994" s="36" t="s">
        <v>357</v>
      </c>
      <c r="G994" s="46">
        <f>G995+G996</f>
        <v>1594</v>
      </c>
      <c r="H994" s="46">
        <f t="shared" si="271"/>
        <v>0</v>
      </c>
      <c r="I994" s="46">
        <f>I995</f>
        <v>0</v>
      </c>
    </row>
    <row r="995" spans="1:9" x14ac:dyDescent="0.2">
      <c r="A995" s="35" t="s">
        <v>358</v>
      </c>
      <c r="B995" s="36" t="s">
        <v>671</v>
      </c>
      <c r="C995" s="36" t="s">
        <v>375</v>
      </c>
      <c r="D995" s="36" t="s">
        <v>352</v>
      </c>
      <c r="E995" s="36" t="s">
        <v>698</v>
      </c>
      <c r="F995" s="36" t="s">
        <v>359</v>
      </c>
      <c r="G995" s="46">
        <f>1500-44.824</f>
        <v>1455.1759999999999</v>
      </c>
      <c r="H995" s="46">
        <f t="shared" si="271"/>
        <v>0</v>
      </c>
      <c r="I995" s="46">
        <f>I996</f>
        <v>0</v>
      </c>
    </row>
    <row r="996" spans="1:9" x14ac:dyDescent="0.2">
      <c r="A996" s="35" t="s">
        <v>383</v>
      </c>
      <c r="B996" s="36" t="s">
        <v>671</v>
      </c>
      <c r="C996" s="36" t="s">
        <v>375</v>
      </c>
      <c r="D996" s="36" t="s">
        <v>352</v>
      </c>
      <c r="E996" s="36" t="s">
        <v>698</v>
      </c>
      <c r="F996" s="36" t="s">
        <v>384</v>
      </c>
      <c r="G996" s="46">
        <f>94+44.824</f>
        <v>138.82400000000001</v>
      </c>
      <c r="H996" s="46">
        <v>0</v>
      </c>
      <c r="I996" s="46">
        <v>0</v>
      </c>
    </row>
    <row r="997" spans="1:9" ht="24" x14ac:dyDescent="0.2">
      <c r="A997" s="39" t="s">
        <v>699</v>
      </c>
      <c r="B997" s="40" t="s">
        <v>671</v>
      </c>
      <c r="C997" s="40" t="s">
        <v>375</v>
      </c>
      <c r="D997" s="40" t="s">
        <v>352</v>
      </c>
      <c r="E997" s="30" t="s">
        <v>700</v>
      </c>
      <c r="F997" s="36"/>
      <c r="G997" s="47">
        <f>G998</f>
        <v>7600</v>
      </c>
      <c r="H997" s="47">
        <f t="shared" si="271"/>
        <v>0</v>
      </c>
      <c r="I997" s="47">
        <f>I998</f>
        <v>0</v>
      </c>
    </row>
    <row r="998" spans="1:9" x14ac:dyDescent="0.2">
      <c r="A998" s="35" t="s">
        <v>356</v>
      </c>
      <c r="B998" s="36" t="s">
        <v>671</v>
      </c>
      <c r="C998" s="36" t="s">
        <v>375</v>
      </c>
      <c r="D998" s="36" t="s">
        <v>352</v>
      </c>
      <c r="E998" s="36" t="s">
        <v>700</v>
      </c>
      <c r="F998" s="36" t="s">
        <v>357</v>
      </c>
      <c r="G998" s="46">
        <f>G999+G1000</f>
        <v>7600</v>
      </c>
      <c r="H998" s="46">
        <f t="shared" si="271"/>
        <v>0</v>
      </c>
      <c r="I998" s="46">
        <f>I999</f>
        <v>0</v>
      </c>
    </row>
    <row r="999" spans="1:9" x14ac:dyDescent="0.2">
      <c r="A999" s="35" t="s">
        <v>358</v>
      </c>
      <c r="B999" s="36" t="s">
        <v>671</v>
      </c>
      <c r="C999" s="36" t="s">
        <v>375</v>
      </c>
      <c r="D999" s="36" t="s">
        <v>352</v>
      </c>
      <c r="E999" s="36" t="s">
        <v>700</v>
      </c>
      <c r="F999" s="36" t="s">
        <v>359</v>
      </c>
      <c r="G999" s="46">
        <v>6600</v>
      </c>
      <c r="H999" s="46">
        <f t="shared" si="271"/>
        <v>0</v>
      </c>
      <c r="I999" s="46">
        <f>I1000</f>
        <v>0</v>
      </c>
    </row>
    <row r="1000" spans="1:9" x14ac:dyDescent="0.2">
      <c r="A1000" s="35" t="s">
        <v>383</v>
      </c>
      <c r="B1000" s="36" t="s">
        <v>671</v>
      </c>
      <c r="C1000" s="36" t="s">
        <v>375</v>
      </c>
      <c r="D1000" s="36" t="s">
        <v>352</v>
      </c>
      <c r="E1000" s="36" t="s">
        <v>700</v>
      </c>
      <c r="F1000" s="36" t="s">
        <v>384</v>
      </c>
      <c r="G1000" s="46">
        <v>1000</v>
      </c>
      <c r="H1000" s="46">
        <v>0</v>
      </c>
      <c r="I1000" s="46">
        <v>0</v>
      </c>
    </row>
    <row r="1001" spans="1:9" x14ac:dyDescent="0.2">
      <c r="A1001" s="29" t="s">
        <v>701</v>
      </c>
      <c r="B1001" s="30" t="s">
        <v>671</v>
      </c>
      <c r="C1001" s="30" t="s">
        <v>375</v>
      </c>
      <c r="D1001" s="30" t="s">
        <v>352</v>
      </c>
      <c r="E1001" s="30" t="s">
        <v>702</v>
      </c>
      <c r="F1001" s="30"/>
      <c r="G1001" s="31">
        <f t="shared" ref="G1001:I1002" si="272">G1002</f>
        <v>8010.2</v>
      </c>
      <c r="H1001" s="31">
        <f t="shared" si="272"/>
        <v>8010.2</v>
      </c>
      <c r="I1001" s="31">
        <f t="shared" si="272"/>
        <v>8010.2</v>
      </c>
    </row>
    <row r="1002" spans="1:9" x14ac:dyDescent="0.2">
      <c r="A1002" s="42" t="s">
        <v>703</v>
      </c>
      <c r="B1002" s="40" t="s">
        <v>671</v>
      </c>
      <c r="C1002" s="40" t="s">
        <v>375</v>
      </c>
      <c r="D1002" s="40" t="s">
        <v>352</v>
      </c>
      <c r="E1002" s="40" t="s">
        <v>704</v>
      </c>
      <c r="F1002" s="40"/>
      <c r="G1002" s="41">
        <f t="shared" si="272"/>
        <v>8010.2</v>
      </c>
      <c r="H1002" s="41">
        <f t="shared" si="272"/>
        <v>8010.2</v>
      </c>
      <c r="I1002" s="41">
        <f t="shared" si="272"/>
        <v>8010.2</v>
      </c>
    </row>
    <row r="1003" spans="1:9" x14ac:dyDescent="0.2">
      <c r="A1003" s="35" t="s">
        <v>356</v>
      </c>
      <c r="B1003" s="36" t="s">
        <v>671</v>
      </c>
      <c r="C1003" s="36" t="s">
        <v>375</v>
      </c>
      <c r="D1003" s="36" t="s">
        <v>352</v>
      </c>
      <c r="E1003" s="36" t="s">
        <v>705</v>
      </c>
      <c r="F1003" s="36" t="s">
        <v>357</v>
      </c>
      <c r="G1003" s="37">
        <f>G1004+G1005</f>
        <v>8010.2</v>
      </c>
      <c r="H1003" s="37">
        <f>H1004+H1005</f>
        <v>8010.2</v>
      </c>
      <c r="I1003" s="37">
        <f>I1004+I1005</f>
        <v>8010.2</v>
      </c>
    </row>
    <row r="1004" spans="1:9" x14ac:dyDescent="0.2">
      <c r="A1004" s="35" t="s">
        <v>358</v>
      </c>
      <c r="B1004" s="36" t="s">
        <v>671</v>
      </c>
      <c r="C1004" s="36" t="s">
        <v>375</v>
      </c>
      <c r="D1004" s="36" t="s">
        <v>352</v>
      </c>
      <c r="E1004" s="36" t="s">
        <v>705</v>
      </c>
      <c r="F1004" s="36" t="s">
        <v>359</v>
      </c>
      <c r="G1004" s="37">
        <v>7882.8</v>
      </c>
      <c r="H1004" s="37">
        <v>7882.8</v>
      </c>
      <c r="I1004" s="37">
        <v>7882.8</v>
      </c>
    </row>
    <row r="1005" spans="1:9" x14ac:dyDescent="0.2">
      <c r="A1005" s="35" t="s">
        <v>383</v>
      </c>
      <c r="B1005" s="36" t="s">
        <v>671</v>
      </c>
      <c r="C1005" s="36" t="s">
        <v>375</v>
      </c>
      <c r="D1005" s="36" t="s">
        <v>352</v>
      </c>
      <c r="E1005" s="36" t="s">
        <v>705</v>
      </c>
      <c r="F1005" s="36" t="s">
        <v>384</v>
      </c>
      <c r="G1005" s="37">
        <v>127.4</v>
      </c>
      <c r="H1005" s="37">
        <v>127.4</v>
      </c>
      <c r="I1005" s="37">
        <v>127.4</v>
      </c>
    </row>
    <row r="1006" spans="1:9" x14ac:dyDescent="0.2">
      <c r="A1006" s="29" t="s">
        <v>438</v>
      </c>
      <c r="B1006" s="30" t="s">
        <v>671</v>
      </c>
      <c r="C1006" s="30" t="s">
        <v>375</v>
      </c>
      <c r="D1006" s="30" t="s">
        <v>283</v>
      </c>
      <c r="E1006" s="30"/>
      <c r="F1006" s="30"/>
      <c r="G1006" s="31">
        <f t="shared" ref="G1006:I1010" si="273">G1007</f>
        <v>113489.8</v>
      </c>
      <c r="H1006" s="31">
        <f t="shared" si="273"/>
        <v>109284.8</v>
      </c>
      <c r="I1006" s="31">
        <f t="shared" si="273"/>
        <v>109284.8</v>
      </c>
    </row>
    <row r="1007" spans="1:9" ht="13.5" x14ac:dyDescent="0.2">
      <c r="A1007" s="39" t="s">
        <v>673</v>
      </c>
      <c r="B1007" s="32" t="s">
        <v>671</v>
      </c>
      <c r="C1007" s="32" t="s">
        <v>375</v>
      </c>
      <c r="D1007" s="32" t="s">
        <v>283</v>
      </c>
      <c r="E1007" s="32" t="s">
        <v>674</v>
      </c>
      <c r="F1007" s="49"/>
      <c r="G1007" s="41">
        <f t="shared" si="273"/>
        <v>113489.8</v>
      </c>
      <c r="H1007" s="41">
        <f t="shared" si="273"/>
        <v>109284.8</v>
      </c>
      <c r="I1007" s="41">
        <f t="shared" si="273"/>
        <v>109284.8</v>
      </c>
    </row>
    <row r="1008" spans="1:9" x14ac:dyDescent="0.2">
      <c r="A1008" s="29" t="s">
        <v>675</v>
      </c>
      <c r="B1008" s="30" t="s">
        <v>671</v>
      </c>
      <c r="C1008" s="30" t="s">
        <v>375</v>
      </c>
      <c r="D1008" s="30" t="s">
        <v>283</v>
      </c>
      <c r="E1008" s="30" t="s">
        <v>676</v>
      </c>
      <c r="F1008" s="36"/>
      <c r="G1008" s="31">
        <f t="shared" si="273"/>
        <v>113489.8</v>
      </c>
      <c r="H1008" s="31">
        <f t="shared" si="273"/>
        <v>109284.8</v>
      </c>
      <c r="I1008" s="31">
        <f t="shared" si="273"/>
        <v>109284.8</v>
      </c>
    </row>
    <row r="1009" spans="1:9" x14ac:dyDescent="0.2">
      <c r="A1009" s="39" t="s">
        <v>706</v>
      </c>
      <c r="B1009" s="40" t="s">
        <v>671</v>
      </c>
      <c r="C1009" s="40" t="s">
        <v>375</v>
      </c>
      <c r="D1009" s="40" t="s">
        <v>283</v>
      </c>
      <c r="E1009" s="40" t="s">
        <v>707</v>
      </c>
      <c r="F1009" s="40"/>
      <c r="G1009" s="41">
        <f t="shared" si="273"/>
        <v>113489.8</v>
      </c>
      <c r="H1009" s="41">
        <f t="shared" si="273"/>
        <v>109284.8</v>
      </c>
      <c r="I1009" s="41">
        <f t="shared" si="273"/>
        <v>109284.8</v>
      </c>
    </row>
    <row r="1010" spans="1:9" x14ac:dyDescent="0.2">
      <c r="A1010" s="35" t="s">
        <v>356</v>
      </c>
      <c r="B1010" s="36" t="s">
        <v>671</v>
      </c>
      <c r="C1010" s="36" t="s">
        <v>375</v>
      </c>
      <c r="D1010" s="36" t="s">
        <v>283</v>
      </c>
      <c r="E1010" s="36" t="s">
        <v>707</v>
      </c>
      <c r="F1010" s="36" t="s">
        <v>357</v>
      </c>
      <c r="G1010" s="37">
        <f>G1011</f>
        <v>113489.8</v>
      </c>
      <c r="H1010" s="37">
        <f t="shared" si="273"/>
        <v>109284.8</v>
      </c>
      <c r="I1010" s="37">
        <f t="shared" si="273"/>
        <v>109284.8</v>
      </c>
    </row>
    <row r="1011" spans="1:9" x14ac:dyDescent="0.2">
      <c r="A1011" s="35" t="s">
        <v>383</v>
      </c>
      <c r="B1011" s="44">
        <v>612</v>
      </c>
      <c r="C1011" s="36" t="s">
        <v>375</v>
      </c>
      <c r="D1011" s="36" t="s">
        <v>283</v>
      </c>
      <c r="E1011" s="36" t="s">
        <v>707</v>
      </c>
      <c r="F1011" s="36" t="s">
        <v>384</v>
      </c>
      <c r="G1011" s="37">
        <f>109284.8-295+500+500+3500</f>
        <v>113489.8</v>
      </c>
      <c r="H1011" s="37">
        <v>109284.8</v>
      </c>
      <c r="I1011" s="37">
        <v>109284.8</v>
      </c>
    </row>
    <row r="1012" spans="1:9" x14ac:dyDescent="0.2">
      <c r="A1012" s="29" t="s">
        <v>376</v>
      </c>
      <c r="B1012" s="30" t="s">
        <v>671</v>
      </c>
      <c r="C1012" s="30" t="s">
        <v>375</v>
      </c>
      <c r="D1012" s="30" t="s">
        <v>375</v>
      </c>
      <c r="E1012" s="30"/>
      <c r="F1012" s="30"/>
      <c r="G1012" s="31">
        <f>G1013</f>
        <v>1031.2</v>
      </c>
      <c r="H1012" s="45">
        <f t="shared" ref="H1012:I1016" si="274">H1013</f>
        <v>0</v>
      </c>
      <c r="I1012" s="45">
        <f t="shared" si="274"/>
        <v>0</v>
      </c>
    </row>
    <row r="1013" spans="1:9" ht="13.5" x14ac:dyDescent="0.2">
      <c r="A1013" s="39" t="s">
        <v>673</v>
      </c>
      <c r="B1013" s="40" t="s">
        <v>671</v>
      </c>
      <c r="C1013" s="40" t="s">
        <v>375</v>
      </c>
      <c r="D1013" s="40" t="s">
        <v>375</v>
      </c>
      <c r="E1013" s="32" t="s">
        <v>674</v>
      </c>
      <c r="F1013" s="40"/>
      <c r="G1013" s="41">
        <f>G1014</f>
        <v>1031.2</v>
      </c>
      <c r="H1013" s="47">
        <f t="shared" si="274"/>
        <v>0</v>
      </c>
      <c r="I1013" s="47">
        <f t="shared" si="274"/>
        <v>0</v>
      </c>
    </row>
    <row r="1014" spans="1:9" x14ac:dyDescent="0.2">
      <c r="A1014" s="29" t="s">
        <v>675</v>
      </c>
      <c r="B1014" s="30" t="s">
        <v>671</v>
      </c>
      <c r="C1014" s="30" t="s">
        <v>375</v>
      </c>
      <c r="D1014" s="30" t="s">
        <v>375</v>
      </c>
      <c r="E1014" s="30" t="s">
        <v>676</v>
      </c>
      <c r="F1014" s="30"/>
      <c r="G1014" s="31">
        <f>G1015</f>
        <v>1031.2</v>
      </c>
      <c r="H1014" s="45">
        <f t="shared" si="274"/>
        <v>0</v>
      </c>
      <c r="I1014" s="45">
        <f t="shared" si="274"/>
        <v>0</v>
      </c>
    </row>
    <row r="1015" spans="1:9" ht="24" x14ac:dyDescent="0.2">
      <c r="A1015" s="39" t="s">
        <v>708</v>
      </c>
      <c r="B1015" s="40" t="s">
        <v>671</v>
      </c>
      <c r="C1015" s="40" t="s">
        <v>375</v>
      </c>
      <c r="D1015" s="40" t="s">
        <v>375</v>
      </c>
      <c r="E1015" s="40" t="s">
        <v>709</v>
      </c>
      <c r="F1015" s="40"/>
      <c r="G1015" s="41">
        <f>G1016</f>
        <v>1031.2</v>
      </c>
      <c r="H1015" s="47">
        <f t="shared" si="274"/>
        <v>0</v>
      </c>
      <c r="I1015" s="47">
        <f t="shared" si="274"/>
        <v>0</v>
      </c>
    </row>
    <row r="1016" spans="1:9" x14ac:dyDescent="0.2">
      <c r="A1016" s="35" t="s">
        <v>356</v>
      </c>
      <c r="B1016" s="36" t="s">
        <v>671</v>
      </c>
      <c r="C1016" s="36" t="s">
        <v>375</v>
      </c>
      <c r="D1016" s="36" t="s">
        <v>375</v>
      </c>
      <c r="E1016" s="36" t="s">
        <v>709</v>
      </c>
      <c r="F1016" s="36" t="s">
        <v>357</v>
      </c>
      <c r="G1016" s="37">
        <f>G1017</f>
        <v>1031.2</v>
      </c>
      <c r="H1016" s="46">
        <f t="shared" si="274"/>
        <v>0</v>
      </c>
      <c r="I1016" s="46">
        <f t="shared" si="274"/>
        <v>0</v>
      </c>
    </row>
    <row r="1017" spans="1:9" x14ac:dyDescent="0.2">
      <c r="A1017" s="35" t="s">
        <v>358</v>
      </c>
      <c r="B1017" s="36" t="s">
        <v>671</v>
      </c>
      <c r="C1017" s="36" t="s">
        <v>375</v>
      </c>
      <c r="D1017" s="36" t="s">
        <v>375</v>
      </c>
      <c r="E1017" s="36" t="s">
        <v>709</v>
      </c>
      <c r="F1017" s="36" t="s">
        <v>359</v>
      </c>
      <c r="G1017" s="37">
        <v>1031.2</v>
      </c>
      <c r="H1017" s="46">
        <v>0</v>
      </c>
      <c r="I1017" s="46">
        <v>0</v>
      </c>
    </row>
    <row r="1018" spans="1:9" x14ac:dyDescent="0.2">
      <c r="A1018" s="29" t="s">
        <v>569</v>
      </c>
      <c r="B1018" s="30" t="s">
        <v>671</v>
      </c>
      <c r="C1018" s="30" t="s">
        <v>375</v>
      </c>
      <c r="D1018" s="30" t="s">
        <v>412</v>
      </c>
      <c r="E1018" s="30"/>
      <c r="F1018" s="36"/>
      <c r="G1018" s="31">
        <f>G1019+G1061</f>
        <v>164411.72271000003</v>
      </c>
      <c r="H1018" s="31">
        <f>H1019+H1061</f>
        <v>116601.70000000001</v>
      </c>
      <c r="I1018" s="31">
        <f>I1019+I1061</f>
        <v>116601.70000000001</v>
      </c>
    </row>
    <row r="1019" spans="1:9" ht="13.5" x14ac:dyDescent="0.2">
      <c r="A1019" s="38" t="s">
        <v>673</v>
      </c>
      <c r="B1019" s="32" t="s">
        <v>671</v>
      </c>
      <c r="C1019" s="32" t="s">
        <v>375</v>
      </c>
      <c r="D1019" s="32" t="s">
        <v>412</v>
      </c>
      <c r="E1019" s="32" t="s">
        <v>674</v>
      </c>
      <c r="F1019" s="36"/>
      <c r="G1019" s="33">
        <f>G1020+G1029+G1050</f>
        <v>163751.18000000002</v>
      </c>
      <c r="H1019" s="33">
        <f>H1020+H1029+H1050</f>
        <v>116601.70000000001</v>
      </c>
      <c r="I1019" s="33">
        <f>I1020+I1029+I1050</f>
        <v>116601.70000000001</v>
      </c>
    </row>
    <row r="1020" spans="1:9" x14ac:dyDescent="0.2">
      <c r="A1020" s="29" t="s">
        <v>675</v>
      </c>
      <c r="B1020" s="30" t="s">
        <v>671</v>
      </c>
      <c r="C1020" s="30" t="s">
        <v>375</v>
      </c>
      <c r="D1020" s="30" t="s">
        <v>412</v>
      </c>
      <c r="E1020" s="30" t="s">
        <v>676</v>
      </c>
      <c r="F1020" s="30"/>
      <c r="G1020" s="31">
        <f>G1021+G1025</f>
        <v>137431.40000000002</v>
      </c>
      <c r="H1020" s="31">
        <f>H1021+H1025</f>
        <v>94338.400000000009</v>
      </c>
      <c r="I1020" s="31">
        <f>I1021+I1025</f>
        <v>94338.400000000009</v>
      </c>
    </row>
    <row r="1021" spans="1:9" x14ac:dyDescent="0.2">
      <c r="A1021" s="39" t="s">
        <v>710</v>
      </c>
      <c r="B1021" s="40" t="s">
        <v>671</v>
      </c>
      <c r="C1021" s="40" t="s">
        <v>375</v>
      </c>
      <c r="D1021" s="40" t="s">
        <v>412</v>
      </c>
      <c r="E1021" s="40" t="s">
        <v>711</v>
      </c>
      <c r="F1021" s="40"/>
      <c r="G1021" s="41">
        <f t="shared" ref="G1021:I1021" si="275">G1022</f>
        <v>35500</v>
      </c>
      <c r="H1021" s="41">
        <f t="shared" si="275"/>
        <v>4407</v>
      </c>
      <c r="I1021" s="41">
        <f t="shared" si="275"/>
        <v>4407</v>
      </c>
    </row>
    <row r="1022" spans="1:9" x14ac:dyDescent="0.2">
      <c r="A1022" s="35" t="s">
        <v>356</v>
      </c>
      <c r="B1022" s="36" t="s">
        <v>671</v>
      </c>
      <c r="C1022" s="36" t="s">
        <v>375</v>
      </c>
      <c r="D1022" s="36" t="s">
        <v>412</v>
      </c>
      <c r="E1022" s="36" t="s">
        <v>711</v>
      </c>
      <c r="F1022" s="36" t="s">
        <v>357</v>
      </c>
      <c r="G1022" s="37">
        <f>G1023+G1024</f>
        <v>35500</v>
      </c>
      <c r="H1022" s="37">
        <f>H1023+H1024</f>
        <v>4407</v>
      </c>
      <c r="I1022" s="37">
        <f>I1023+I1024</f>
        <v>4407</v>
      </c>
    </row>
    <row r="1023" spans="1:9" x14ac:dyDescent="0.2">
      <c r="A1023" s="35" t="s">
        <v>358</v>
      </c>
      <c r="B1023" s="44">
        <v>612</v>
      </c>
      <c r="C1023" s="36" t="s">
        <v>375</v>
      </c>
      <c r="D1023" s="36" t="s">
        <v>412</v>
      </c>
      <c r="E1023" s="36" t="s">
        <v>711</v>
      </c>
      <c r="F1023" s="36" t="s">
        <v>359</v>
      </c>
      <c r="G1023" s="37">
        <f>4382.5+5593+37000-22000+6000</f>
        <v>30975.5</v>
      </c>
      <c r="H1023" s="37">
        <v>4382.5</v>
      </c>
      <c r="I1023" s="37">
        <v>4382.5</v>
      </c>
    </row>
    <row r="1024" spans="1:9" x14ac:dyDescent="0.2">
      <c r="A1024" s="35" t="s">
        <v>383</v>
      </c>
      <c r="B1024" s="44">
        <v>612</v>
      </c>
      <c r="C1024" s="36" t="s">
        <v>375</v>
      </c>
      <c r="D1024" s="36" t="s">
        <v>412</v>
      </c>
      <c r="E1024" s="36" t="s">
        <v>711</v>
      </c>
      <c r="F1024" s="36" t="s">
        <v>384</v>
      </c>
      <c r="G1024" s="37">
        <f>24.5+500+4000</f>
        <v>4524.5</v>
      </c>
      <c r="H1024" s="37">
        <v>24.5</v>
      </c>
      <c r="I1024" s="37">
        <v>24.5</v>
      </c>
    </row>
    <row r="1025" spans="1:9" x14ac:dyDescent="0.2">
      <c r="A1025" s="39" t="s">
        <v>712</v>
      </c>
      <c r="B1025" s="209">
        <v>612</v>
      </c>
      <c r="C1025" s="49" t="s">
        <v>375</v>
      </c>
      <c r="D1025" s="49" t="s">
        <v>412</v>
      </c>
      <c r="E1025" s="40" t="s">
        <v>713</v>
      </c>
      <c r="F1025" s="40"/>
      <c r="G1025" s="41">
        <f>G1026</f>
        <v>101931.40000000001</v>
      </c>
      <c r="H1025" s="41">
        <f>H1026</f>
        <v>89931.400000000009</v>
      </c>
      <c r="I1025" s="41">
        <f>I1026</f>
        <v>89931.400000000009</v>
      </c>
    </row>
    <row r="1026" spans="1:9" x14ac:dyDescent="0.2">
      <c r="A1026" s="35" t="s">
        <v>356</v>
      </c>
      <c r="B1026" s="36" t="s">
        <v>671</v>
      </c>
      <c r="C1026" s="36" t="s">
        <v>375</v>
      </c>
      <c r="D1026" s="36" t="s">
        <v>412</v>
      </c>
      <c r="E1026" s="36" t="s">
        <v>713</v>
      </c>
      <c r="F1026" s="36" t="s">
        <v>357</v>
      </c>
      <c r="G1026" s="37">
        <f>G1027+G1028</f>
        <v>101931.40000000001</v>
      </c>
      <c r="H1026" s="37">
        <f>H1027+H1028</f>
        <v>89931.400000000009</v>
      </c>
      <c r="I1026" s="37">
        <f>I1027+I1028</f>
        <v>89931.400000000009</v>
      </c>
    </row>
    <row r="1027" spans="1:9" x14ac:dyDescent="0.2">
      <c r="A1027" s="35" t="s">
        <v>358</v>
      </c>
      <c r="B1027" s="44">
        <v>612</v>
      </c>
      <c r="C1027" s="36" t="s">
        <v>375</v>
      </c>
      <c r="D1027" s="36" t="s">
        <v>412</v>
      </c>
      <c r="E1027" s="36" t="s">
        <v>713</v>
      </c>
      <c r="F1027" s="36" t="s">
        <v>359</v>
      </c>
      <c r="G1027" s="37">
        <f>81596.6+10000+1475.098</f>
        <v>93071.698000000004</v>
      </c>
      <c r="H1027" s="37">
        <v>81596.600000000006</v>
      </c>
      <c r="I1027" s="37">
        <v>81596.600000000006</v>
      </c>
    </row>
    <row r="1028" spans="1:9" x14ac:dyDescent="0.2">
      <c r="A1028" s="35" t="s">
        <v>383</v>
      </c>
      <c r="B1028" s="44">
        <v>612</v>
      </c>
      <c r="C1028" s="36" t="s">
        <v>375</v>
      </c>
      <c r="D1028" s="36" t="s">
        <v>412</v>
      </c>
      <c r="E1028" s="36" t="s">
        <v>713</v>
      </c>
      <c r="F1028" s="36" t="s">
        <v>384</v>
      </c>
      <c r="G1028" s="37">
        <f>8334.8+524.902</f>
        <v>8859.7019999999993</v>
      </c>
      <c r="H1028" s="37">
        <v>8334.7999999999993</v>
      </c>
      <c r="I1028" s="37">
        <v>8334.7999999999993</v>
      </c>
    </row>
    <row r="1029" spans="1:9" x14ac:dyDescent="0.2">
      <c r="A1029" s="29" t="s">
        <v>714</v>
      </c>
      <c r="B1029" s="30" t="s">
        <v>671</v>
      </c>
      <c r="C1029" s="30" t="s">
        <v>375</v>
      </c>
      <c r="D1029" s="30" t="s">
        <v>412</v>
      </c>
      <c r="E1029" s="30" t="s">
        <v>715</v>
      </c>
      <c r="F1029" s="30"/>
      <c r="G1029" s="31">
        <f>G1030+G1038+G1043</f>
        <v>8598.2870000000003</v>
      </c>
      <c r="H1029" s="31">
        <f>H1030+H1038+H1043</f>
        <v>7709.8</v>
      </c>
      <c r="I1029" s="31">
        <f>I1030+I1038+I1043</f>
        <v>7709.8</v>
      </c>
    </row>
    <row r="1030" spans="1:9" ht="15.75" customHeight="1" x14ac:dyDescent="0.2">
      <c r="A1030" s="50" t="s">
        <v>716</v>
      </c>
      <c r="B1030" s="30" t="s">
        <v>671</v>
      </c>
      <c r="C1030" s="30" t="s">
        <v>375</v>
      </c>
      <c r="D1030" s="30" t="s">
        <v>412</v>
      </c>
      <c r="E1030" s="30" t="s">
        <v>717</v>
      </c>
      <c r="F1030" s="40"/>
      <c r="G1030" s="31">
        <f>G1031</f>
        <v>5948.2870000000003</v>
      </c>
      <c r="H1030" s="31">
        <f>H1031</f>
        <v>5279.8</v>
      </c>
      <c r="I1030" s="31">
        <f>I1031</f>
        <v>5279.8</v>
      </c>
    </row>
    <row r="1031" spans="1:9" x14ac:dyDescent="0.2">
      <c r="A1031" s="52" t="s">
        <v>263</v>
      </c>
      <c r="B1031" s="209">
        <v>612</v>
      </c>
      <c r="C1031" s="49" t="s">
        <v>375</v>
      </c>
      <c r="D1031" s="49" t="s">
        <v>412</v>
      </c>
      <c r="E1031" s="49" t="s">
        <v>718</v>
      </c>
      <c r="F1031" s="49"/>
      <c r="G1031" s="53">
        <f>G1032+G1034+G1036</f>
        <v>5948.2870000000003</v>
      </c>
      <c r="H1031" s="53">
        <f>H1032+H1034+H1036</f>
        <v>5279.8</v>
      </c>
      <c r="I1031" s="53">
        <f>I1032+I1034+I1036</f>
        <v>5279.8</v>
      </c>
    </row>
    <row r="1032" spans="1:9" ht="24" x14ac:dyDescent="0.2">
      <c r="A1032" s="35" t="s">
        <v>185</v>
      </c>
      <c r="B1032" s="44">
        <v>612</v>
      </c>
      <c r="C1032" s="36" t="s">
        <v>375</v>
      </c>
      <c r="D1032" s="36" t="s">
        <v>412</v>
      </c>
      <c r="E1032" s="36" t="s">
        <v>718</v>
      </c>
      <c r="F1032" s="36" t="s">
        <v>186</v>
      </c>
      <c r="G1032" s="37">
        <f>G1033</f>
        <v>5843.2870000000003</v>
      </c>
      <c r="H1032" s="37">
        <f>H1033</f>
        <v>5174.8</v>
      </c>
      <c r="I1032" s="37">
        <f>I1033</f>
        <v>5174.8</v>
      </c>
    </row>
    <row r="1033" spans="1:9" x14ac:dyDescent="0.2">
      <c r="A1033" s="35" t="s">
        <v>266</v>
      </c>
      <c r="B1033" s="44">
        <v>612</v>
      </c>
      <c r="C1033" s="36" t="s">
        <v>375</v>
      </c>
      <c r="D1033" s="36" t="s">
        <v>412</v>
      </c>
      <c r="E1033" s="36" t="s">
        <v>718</v>
      </c>
      <c r="F1033" s="36" t="s">
        <v>267</v>
      </c>
      <c r="G1033" s="37">
        <f>3974.5+1200.3+668.487</f>
        <v>5843.2870000000003</v>
      </c>
      <c r="H1033" s="37">
        <f>3974.5+1200.3</f>
        <v>5174.8</v>
      </c>
      <c r="I1033" s="37">
        <f>3974.5+1200.3</f>
        <v>5174.8</v>
      </c>
    </row>
    <row r="1034" spans="1:9" x14ac:dyDescent="0.2">
      <c r="A1034" s="35" t="s">
        <v>195</v>
      </c>
      <c r="B1034" s="44">
        <v>612</v>
      </c>
      <c r="C1034" s="36" t="s">
        <v>375</v>
      </c>
      <c r="D1034" s="36" t="s">
        <v>412</v>
      </c>
      <c r="E1034" s="36" t="s">
        <v>718</v>
      </c>
      <c r="F1034" s="36" t="s">
        <v>196</v>
      </c>
      <c r="G1034" s="37">
        <f>G1035</f>
        <v>100</v>
      </c>
      <c r="H1034" s="37">
        <f>H1035</f>
        <v>100</v>
      </c>
      <c r="I1034" s="37">
        <f>I1035</f>
        <v>100</v>
      </c>
    </row>
    <row r="1035" spans="1:9" x14ac:dyDescent="0.2">
      <c r="A1035" s="35" t="s">
        <v>197</v>
      </c>
      <c r="B1035" s="44">
        <v>612</v>
      </c>
      <c r="C1035" s="36" t="s">
        <v>375</v>
      </c>
      <c r="D1035" s="36" t="s">
        <v>412</v>
      </c>
      <c r="E1035" s="36" t="s">
        <v>718</v>
      </c>
      <c r="F1035" s="36" t="s">
        <v>198</v>
      </c>
      <c r="G1035" s="37">
        <v>100</v>
      </c>
      <c r="H1035" s="37">
        <v>100</v>
      </c>
      <c r="I1035" s="37">
        <v>100</v>
      </c>
    </row>
    <row r="1036" spans="1:9" x14ac:dyDescent="0.2">
      <c r="A1036" s="35" t="s">
        <v>199</v>
      </c>
      <c r="B1036" s="44">
        <v>612</v>
      </c>
      <c r="C1036" s="36" t="s">
        <v>375</v>
      </c>
      <c r="D1036" s="36" t="s">
        <v>412</v>
      </c>
      <c r="E1036" s="36" t="s">
        <v>718</v>
      </c>
      <c r="F1036" s="36" t="s">
        <v>200</v>
      </c>
      <c r="G1036" s="213">
        <f>G1037</f>
        <v>5</v>
      </c>
      <c r="H1036" s="213">
        <f>H1037</f>
        <v>5</v>
      </c>
      <c r="I1036" s="213">
        <f>I1037</f>
        <v>5</v>
      </c>
    </row>
    <row r="1037" spans="1:9" x14ac:dyDescent="0.2">
      <c r="A1037" s="35" t="s">
        <v>201</v>
      </c>
      <c r="B1037" s="44">
        <v>612</v>
      </c>
      <c r="C1037" s="36" t="s">
        <v>375</v>
      </c>
      <c r="D1037" s="36" t="s">
        <v>412</v>
      </c>
      <c r="E1037" s="36" t="s">
        <v>718</v>
      </c>
      <c r="F1037" s="36" t="s">
        <v>202</v>
      </c>
      <c r="G1037" s="213">
        <v>5</v>
      </c>
      <c r="H1037" s="213">
        <v>5</v>
      </c>
      <c r="I1037" s="213">
        <v>5</v>
      </c>
    </row>
    <row r="1038" spans="1:9" ht="24" x14ac:dyDescent="0.2">
      <c r="A1038" s="42" t="s">
        <v>719</v>
      </c>
      <c r="B1038" s="40" t="s">
        <v>671</v>
      </c>
      <c r="C1038" s="40" t="s">
        <v>375</v>
      </c>
      <c r="D1038" s="40" t="s">
        <v>412</v>
      </c>
      <c r="E1038" s="40" t="s">
        <v>720</v>
      </c>
      <c r="F1038" s="40"/>
      <c r="G1038" s="41">
        <f>G1039+G1041</f>
        <v>1050</v>
      </c>
      <c r="H1038" s="41">
        <f>H1039+H1041</f>
        <v>1830</v>
      </c>
      <c r="I1038" s="41">
        <f>I1039+I1041</f>
        <v>1830</v>
      </c>
    </row>
    <row r="1039" spans="1:9" ht="24" x14ac:dyDescent="0.2">
      <c r="A1039" s="35" t="s">
        <v>185</v>
      </c>
      <c r="B1039" s="44">
        <v>612</v>
      </c>
      <c r="C1039" s="36" t="s">
        <v>375</v>
      </c>
      <c r="D1039" s="36" t="s">
        <v>412</v>
      </c>
      <c r="E1039" s="36" t="s">
        <v>720</v>
      </c>
      <c r="F1039" s="36" t="s">
        <v>186</v>
      </c>
      <c r="G1039" s="37">
        <f>G1040</f>
        <v>205</v>
      </c>
      <c r="H1039" s="37">
        <f>H1040</f>
        <v>205</v>
      </c>
      <c r="I1039" s="37">
        <f>I1040</f>
        <v>205</v>
      </c>
    </row>
    <row r="1040" spans="1:9" x14ac:dyDescent="0.2">
      <c r="A1040" s="35" t="s">
        <v>266</v>
      </c>
      <c r="B1040" s="44">
        <v>612</v>
      </c>
      <c r="C1040" s="36" t="s">
        <v>375</v>
      </c>
      <c r="D1040" s="36" t="s">
        <v>412</v>
      </c>
      <c r="E1040" s="36" t="s">
        <v>720</v>
      </c>
      <c r="F1040" s="36" t="s">
        <v>267</v>
      </c>
      <c r="G1040" s="37">
        <v>205</v>
      </c>
      <c r="H1040" s="37">
        <v>205</v>
      </c>
      <c r="I1040" s="37">
        <v>205</v>
      </c>
    </row>
    <row r="1041" spans="1:9" x14ac:dyDescent="0.2">
      <c r="A1041" s="35" t="s">
        <v>195</v>
      </c>
      <c r="B1041" s="44">
        <v>612</v>
      </c>
      <c r="C1041" s="36" t="s">
        <v>375</v>
      </c>
      <c r="D1041" s="36" t="s">
        <v>412</v>
      </c>
      <c r="E1041" s="36" t="s">
        <v>720</v>
      </c>
      <c r="F1041" s="36" t="s">
        <v>196</v>
      </c>
      <c r="G1041" s="37">
        <f>G1042</f>
        <v>845</v>
      </c>
      <c r="H1041" s="37">
        <f>H1042</f>
        <v>1625</v>
      </c>
      <c r="I1041" s="37">
        <f>I1042</f>
        <v>1625</v>
      </c>
    </row>
    <row r="1042" spans="1:9" x14ac:dyDescent="0.2">
      <c r="A1042" s="35" t="s">
        <v>197</v>
      </c>
      <c r="B1042" s="44">
        <v>612</v>
      </c>
      <c r="C1042" s="36" t="s">
        <v>375</v>
      </c>
      <c r="D1042" s="36" t="s">
        <v>412</v>
      </c>
      <c r="E1042" s="36" t="s">
        <v>720</v>
      </c>
      <c r="F1042" s="36" t="s">
        <v>198</v>
      </c>
      <c r="G1042" s="37">
        <f>1625-350-100+70-400</f>
        <v>845</v>
      </c>
      <c r="H1042" s="37">
        <v>1625</v>
      </c>
      <c r="I1042" s="37">
        <v>1625</v>
      </c>
    </row>
    <row r="1043" spans="1:9" ht="36" x14ac:dyDescent="0.2">
      <c r="A1043" s="42" t="s">
        <v>721</v>
      </c>
      <c r="B1043" s="40" t="s">
        <v>671</v>
      </c>
      <c r="C1043" s="40" t="s">
        <v>375</v>
      </c>
      <c r="D1043" s="40" t="s">
        <v>412</v>
      </c>
      <c r="E1043" s="40" t="s">
        <v>722</v>
      </c>
      <c r="F1043" s="40"/>
      <c r="G1043" s="41">
        <f>G1044+G1046+G1048</f>
        <v>1600</v>
      </c>
      <c r="H1043" s="41">
        <f>H1044+H1046+H1048</f>
        <v>600</v>
      </c>
      <c r="I1043" s="41">
        <f>I1044+I1046+I1048</f>
        <v>600</v>
      </c>
    </row>
    <row r="1044" spans="1:9" ht="24" x14ac:dyDescent="0.2">
      <c r="A1044" s="35" t="s">
        <v>185</v>
      </c>
      <c r="B1044" s="44">
        <v>612</v>
      </c>
      <c r="C1044" s="36" t="s">
        <v>375</v>
      </c>
      <c r="D1044" s="36" t="s">
        <v>412</v>
      </c>
      <c r="E1044" s="36" t="s">
        <v>722</v>
      </c>
      <c r="F1044" s="36" t="s">
        <v>186</v>
      </c>
      <c r="G1044" s="37">
        <f>G1045</f>
        <v>50</v>
      </c>
      <c r="H1044" s="37">
        <f>H1045</f>
        <v>50</v>
      </c>
      <c r="I1044" s="37">
        <f>I1045</f>
        <v>50</v>
      </c>
    </row>
    <row r="1045" spans="1:9" x14ac:dyDescent="0.2">
      <c r="A1045" s="35" t="s">
        <v>266</v>
      </c>
      <c r="B1045" s="44">
        <v>612</v>
      </c>
      <c r="C1045" s="36" t="s">
        <v>375</v>
      </c>
      <c r="D1045" s="36" t="s">
        <v>412</v>
      </c>
      <c r="E1045" s="36" t="s">
        <v>722</v>
      </c>
      <c r="F1045" s="36" t="s">
        <v>267</v>
      </c>
      <c r="G1045" s="37">
        <v>50</v>
      </c>
      <c r="H1045" s="37">
        <v>50</v>
      </c>
      <c r="I1045" s="37">
        <v>50</v>
      </c>
    </row>
    <row r="1046" spans="1:9" x14ac:dyDescent="0.2">
      <c r="A1046" s="35" t="s">
        <v>195</v>
      </c>
      <c r="B1046" s="44">
        <v>612</v>
      </c>
      <c r="C1046" s="36" t="s">
        <v>375</v>
      </c>
      <c r="D1046" s="36" t="s">
        <v>412</v>
      </c>
      <c r="E1046" s="36" t="s">
        <v>722</v>
      </c>
      <c r="F1046" s="36" t="s">
        <v>196</v>
      </c>
      <c r="G1046" s="37">
        <f>G1047</f>
        <v>1180</v>
      </c>
      <c r="H1046" s="37">
        <f>H1047</f>
        <v>280</v>
      </c>
      <c r="I1046" s="37">
        <f>I1047</f>
        <v>280</v>
      </c>
    </row>
    <row r="1047" spans="1:9" x14ac:dyDescent="0.2">
      <c r="A1047" s="35" t="s">
        <v>197</v>
      </c>
      <c r="B1047" s="44">
        <v>612</v>
      </c>
      <c r="C1047" s="36" t="s">
        <v>375</v>
      </c>
      <c r="D1047" s="36" t="s">
        <v>412</v>
      </c>
      <c r="E1047" s="36" t="s">
        <v>722</v>
      </c>
      <c r="F1047" s="36" t="s">
        <v>198</v>
      </c>
      <c r="G1047" s="37">
        <f>280+350+150+400</f>
        <v>1180</v>
      </c>
      <c r="H1047" s="37">
        <v>280</v>
      </c>
      <c r="I1047" s="37">
        <v>280</v>
      </c>
    </row>
    <row r="1048" spans="1:9" x14ac:dyDescent="0.2">
      <c r="A1048" s="35" t="s">
        <v>325</v>
      </c>
      <c r="B1048" s="44">
        <v>612</v>
      </c>
      <c r="C1048" s="36" t="s">
        <v>375</v>
      </c>
      <c r="D1048" s="36" t="s">
        <v>412</v>
      </c>
      <c r="E1048" s="36" t="s">
        <v>722</v>
      </c>
      <c r="F1048" s="36" t="s">
        <v>326</v>
      </c>
      <c r="G1048" s="37">
        <f>G1049</f>
        <v>370</v>
      </c>
      <c r="H1048" s="37">
        <f>H1049</f>
        <v>270</v>
      </c>
      <c r="I1048" s="37">
        <f>I1049</f>
        <v>270</v>
      </c>
    </row>
    <row r="1049" spans="1:9" x14ac:dyDescent="0.2">
      <c r="A1049" s="35" t="s">
        <v>723</v>
      </c>
      <c r="B1049" s="44">
        <v>612</v>
      </c>
      <c r="C1049" s="36" t="s">
        <v>375</v>
      </c>
      <c r="D1049" s="36" t="s">
        <v>412</v>
      </c>
      <c r="E1049" s="36" t="s">
        <v>722</v>
      </c>
      <c r="F1049" s="36" t="s">
        <v>724</v>
      </c>
      <c r="G1049" s="37">
        <f>270+100</f>
        <v>370</v>
      </c>
      <c r="H1049" s="37">
        <v>270</v>
      </c>
      <c r="I1049" s="37">
        <v>270</v>
      </c>
    </row>
    <row r="1050" spans="1:9" ht="24" x14ac:dyDescent="0.2">
      <c r="A1050" s="50" t="s">
        <v>725</v>
      </c>
      <c r="B1050" s="51">
        <v>612</v>
      </c>
      <c r="C1050" s="30" t="s">
        <v>375</v>
      </c>
      <c r="D1050" s="30" t="s">
        <v>412</v>
      </c>
      <c r="E1050" s="30" t="s">
        <v>726</v>
      </c>
      <c r="F1050" s="30"/>
      <c r="G1050" s="31">
        <f t="shared" ref="G1050:I1051" si="276">G1051</f>
        <v>17721.492999999999</v>
      </c>
      <c r="H1050" s="31">
        <f t="shared" si="276"/>
        <v>14553.5</v>
      </c>
      <c r="I1050" s="31">
        <f t="shared" si="276"/>
        <v>14553.5</v>
      </c>
    </row>
    <row r="1051" spans="1:9" x14ac:dyDescent="0.2">
      <c r="A1051" s="66" t="s">
        <v>727</v>
      </c>
      <c r="B1051" s="51">
        <v>612</v>
      </c>
      <c r="C1051" s="30" t="s">
        <v>375</v>
      </c>
      <c r="D1051" s="30" t="s">
        <v>412</v>
      </c>
      <c r="E1051" s="30" t="s">
        <v>726</v>
      </c>
      <c r="F1051" s="30"/>
      <c r="G1051" s="31">
        <f t="shared" si="276"/>
        <v>17721.492999999999</v>
      </c>
      <c r="H1051" s="31">
        <f t="shared" si="276"/>
        <v>14553.5</v>
      </c>
      <c r="I1051" s="31">
        <f t="shared" si="276"/>
        <v>14553.5</v>
      </c>
    </row>
    <row r="1052" spans="1:9" ht="24" x14ac:dyDescent="0.2">
      <c r="A1052" s="39" t="s">
        <v>728</v>
      </c>
      <c r="B1052" s="40" t="s">
        <v>671</v>
      </c>
      <c r="C1052" s="40" t="s">
        <v>375</v>
      </c>
      <c r="D1052" s="40" t="s">
        <v>412</v>
      </c>
      <c r="E1052" s="40" t="s">
        <v>726</v>
      </c>
      <c r="F1052" s="40"/>
      <c r="G1052" s="41">
        <f>G1053+G1056</f>
        <v>17721.492999999999</v>
      </c>
      <c r="H1052" s="41">
        <f>H1053+H1056</f>
        <v>14553.5</v>
      </c>
      <c r="I1052" s="41">
        <f>I1053+I1056</f>
        <v>14553.5</v>
      </c>
    </row>
    <row r="1053" spans="1:9" x14ac:dyDescent="0.2">
      <c r="A1053" s="29" t="s">
        <v>492</v>
      </c>
      <c r="B1053" s="30" t="s">
        <v>671</v>
      </c>
      <c r="C1053" s="30" t="s">
        <v>375</v>
      </c>
      <c r="D1053" s="30" t="s">
        <v>412</v>
      </c>
      <c r="E1053" s="30" t="s">
        <v>729</v>
      </c>
      <c r="F1053" s="30"/>
      <c r="G1053" s="31">
        <f t="shared" ref="G1053:I1054" si="277">G1054</f>
        <v>17092.489999999998</v>
      </c>
      <c r="H1053" s="31">
        <f t="shared" si="277"/>
        <v>14008.5</v>
      </c>
      <c r="I1053" s="31">
        <f t="shared" si="277"/>
        <v>14008.5</v>
      </c>
    </row>
    <row r="1054" spans="1:9" ht="24" x14ac:dyDescent="0.2">
      <c r="A1054" s="35" t="s">
        <v>185</v>
      </c>
      <c r="B1054" s="36" t="s">
        <v>671</v>
      </c>
      <c r="C1054" s="36" t="s">
        <v>375</v>
      </c>
      <c r="D1054" s="36" t="s">
        <v>412</v>
      </c>
      <c r="E1054" s="36" t="s">
        <v>729</v>
      </c>
      <c r="F1054" s="36" t="s">
        <v>186</v>
      </c>
      <c r="G1054" s="37">
        <f t="shared" si="277"/>
        <v>17092.489999999998</v>
      </c>
      <c r="H1054" s="37">
        <f t="shared" si="277"/>
        <v>14008.5</v>
      </c>
      <c r="I1054" s="37">
        <f t="shared" si="277"/>
        <v>14008.5</v>
      </c>
    </row>
    <row r="1055" spans="1:9" x14ac:dyDescent="0.2">
      <c r="A1055" s="35" t="s">
        <v>187</v>
      </c>
      <c r="B1055" s="36" t="s">
        <v>671</v>
      </c>
      <c r="C1055" s="36" t="s">
        <v>375</v>
      </c>
      <c r="D1055" s="36" t="s">
        <v>412</v>
      </c>
      <c r="E1055" s="36" t="s">
        <v>729</v>
      </c>
      <c r="F1055" s="36" t="s">
        <v>188</v>
      </c>
      <c r="G1055" s="37">
        <f>14008.5+3083.99</f>
        <v>17092.489999999998</v>
      </c>
      <c r="H1055" s="37">
        <v>14008.5</v>
      </c>
      <c r="I1055" s="37">
        <v>14008.5</v>
      </c>
    </row>
    <row r="1056" spans="1:9" x14ac:dyDescent="0.2">
      <c r="A1056" s="29" t="s">
        <v>193</v>
      </c>
      <c r="B1056" s="30" t="s">
        <v>671</v>
      </c>
      <c r="C1056" s="30" t="s">
        <v>375</v>
      </c>
      <c r="D1056" s="30" t="s">
        <v>412</v>
      </c>
      <c r="E1056" s="30" t="s">
        <v>730</v>
      </c>
      <c r="F1056" s="30"/>
      <c r="G1056" s="31">
        <f>G1057+G1059</f>
        <v>629.00300000000004</v>
      </c>
      <c r="H1056" s="31">
        <f>H1057+H1059</f>
        <v>545</v>
      </c>
      <c r="I1056" s="31">
        <f>I1057+I1059</f>
        <v>545</v>
      </c>
    </row>
    <row r="1057" spans="1:9" x14ac:dyDescent="0.2">
      <c r="A1057" s="35" t="s">
        <v>195</v>
      </c>
      <c r="B1057" s="36" t="s">
        <v>671</v>
      </c>
      <c r="C1057" s="36" t="s">
        <v>375</v>
      </c>
      <c r="D1057" s="36" t="s">
        <v>412</v>
      </c>
      <c r="E1057" s="36" t="s">
        <v>730</v>
      </c>
      <c r="F1057" s="36" t="s">
        <v>196</v>
      </c>
      <c r="G1057" s="37">
        <f>G1058</f>
        <v>624.00300000000004</v>
      </c>
      <c r="H1057" s="37">
        <f>H1058</f>
        <v>540</v>
      </c>
      <c r="I1057" s="37">
        <f>I1058</f>
        <v>540</v>
      </c>
    </row>
    <row r="1058" spans="1:9" x14ac:dyDescent="0.2">
      <c r="A1058" s="35" t="s">
        <v>197</v>
      </c>
      <c r="B1058" s="36" t="s">
        <v>671</v>
      </c>
      <c r="C1058" s="36" t="s">
        <v>375</v>
      </c>
      <c r="D1058" s="36" t="s">
        <v>412</v>
      </c>
      <c r="E1058" s="36" t="s">
        <v>730</v>
      </c>
      <c r="F1058" s="36" t="s">
        <v>198</v>
      </c>
      <c r="G1058" s="37">
        <f>540+84.003</f>
        <v>624.00300000000004</v>
      </c>
      <c r="H1058" s="37">
        <v>540</v>
      </c>
      <c r="I1058" s="37">
        <v>540</v>
      </c>
    </row>
    <row r="1059" spans="1:9" x14ac:dyDescent="0.2">
      <c r="A1059" s="35" t="s">
        <v>199</v>
      </c>
      <c r="B1059" s="36" t="s">
        <v>671</v>
      </c>
      <c r="C1059" s="36" t="s">
        <v>375</v>
      </c>
      <c r="D1059" s="36" t="s">
        <v>412</v>
      </c>
      <c r="E1059" s="36" t="s">
        <v>730</v>
      </c>
      <c r="F1059" s="36" t="s">
        <v>200</v>
      </c>
      <c r="G1059" s="37">
        <f>G1060</f>
        <v>5</v>
      </c>
      <c r="H1059" s="37">
        <f>H1060</f>
        <v>5</v>
      </c>
      <c r="I1059" s="37">
        <f>I1060</f>
        <v>5</v>
      </c>
    </row>
    <row r="1060" spans="1:9" x14ac:dyDescent="0.2">
      <c r="A1060" s="35" t="s">
        <v>201</v>
      </c>
      <c r="B1060" s="36" t="s">
        <v>671</v>
      </c>
      <c r="C1060" s="36" t="s">
        <v>375</v>
      </c>
      <c r="D1060" s="36" t="s">
        <v>412</v>
      </c>
      <c r="E1060" s="36" t="s">
        <v>730</v>
      </c>
      <c r="F1060" s="36" t="s">
        <v>202</v>
      </c>
      <c r="G1060" s="37">
        <v>5</v>
      </c>
      <c r="H1060" s="37">
        <v>5</v>
      </c>
      <c r="I1060" s="37">
        <v>5</v>
      </c>
    </row>
    <row r="1061" spans="1:9" x14ac:dyDescent="0.2">
      <c r="A1061" s="129" t="s">
        <v>178</v>
      </c>
      <c r="B1061" s="83" t="s">
        <v>671</v>
      </c>
      <c r="C1061" s="83" t="s">
        <v>375</v>
      </c>
      <c r="D1061" s="83" t="s">
        <v>412</v>
      </c>
      <c r="E1061" s="83" t="s">
        <v>189</v>
      </c>
      <c r="F1061" s="12"/>
      <c r="G1061" s="115">
        <f t="shared" ref="G1061:I1064" si="278">G1062</f>
        <v>660.54271000000006</v>
      </c>
      <c r="H1061" s="145">
        <f t="shared" si="278"/>
        <v>0</v>
      </c>
      <c r="I1061" s="145">
        <f t="shared" si="278"/>
        <v>0</v>
      </c>
    </row>
    <row r="1062" spans="1:9" x14ac:dyDescent="0.2">
      <c r="A1062" s="75" t="s">
        <v>180</v>
      </c>
      <c r="B1062" s="74" t="s">
        <v>671</v>
      </c>
      <c r="C1062" s="74" t="s">
        <v>375</v>
      </c>
      <c r="D1062" s="74" t="s">
        <v>412</v>
      </c>
      <c r="E1062" s="74" t="s">
        <v>190</v>
      </c>
      <c r="F1062" s="12"/>
      <c r="G1062" s="115">
        <f t="shared" si="278"/>
        <v>660.54271000000006</v>
      </c>
      <c r="H1062" s="127">
        <f t="shared" si="278"/>
        <v>0</v>
      </c>
      <c r="I1062" s="127">
        <f t="shared" si="278"/>
        <v>0</v>
      </c>
    </row>
    <row r="1063" spans="1:9" x14ac:dyDescent="0.2">
      <c r="A1063" s="75" t="s">
        <v>203</v>
      </c>
      <c r="B1063" s="74" t="s">
        <v>671</v>
      </c>
      <c r="C1063" s="74" t="s">
        <v>375</v>
      </c>
      <c r="D1063" s="74" t="s">
        <v>412</v>
      </c>
      <c r="E1063" s="74" t="s">
        <v>204</v>
      </c>
      <c r="F1063" s="74"/>
      <c r="G1063" s="127">
        <f t="shared" si="278"/>
        <v>660.54271000000006</v>
      </c>
      <c r="H1063" s="127">
        <f t="shared" si="278"/>
        <v>0</v>
      </c>
      <c r="I1063" s="127">
        <f t="shared" si="278"/>
        <v>0</v>
      </c>
    </row>
    <row r="1064" spans="1:9" ht="24" x14ac:dyDescent="0.2">
      <c r="A1064" s="73" t="s">
        <v>185</v>
      </c>
      <c r="B1064" s="12" t="s">
        <v>671</v>
      </c>
      <c r="C1064" s="12" t="s">
        <v>375</v>
      </c>
      <c r="D1064" s="12" t="s">
        <v>412</v>
      </c>
      <c r="E1064" s="12" t="s">
        <v>204</v>
      </c>
      <c r="F1064" s="12" t="s">
        <v>186</v>
      </c>
      <c r="G1064" s="115">
        <f t="shared" si="278"/>
        <v>660.54271000000006</v>
      </c>
      <c r="H1064" s="115">
        <f t="shared" si="278"/>
        <v>0</v>
      </c>
      <c r="I1064" s="115">
        <f t="shared" si="278"/>
        <v>0</v>
      </c>
    </row>
    <row r="1065" spans="1:9" x14ac:dyDescent="0.2">
      <c r="A1065" s="73" t="s">
        <v>187</v>
      </c>
      <c r="B1065" s="12" t="s">
        <v>671</v>
      </c>
      <c r="C1065" s="12" t="s">
        <v>375</v>
      </c>
      <c r="D1065" s="12" t="s">
        <v>412</v>
      </c>
      <c r="E1065" s="12" t="s">
        <v>204</v>
      </c>
      <c r="F1065" s="12" t="s">
        <v>188</v>
      </c>
      <c r="G1065" s="115">
        <v>660.54271000000006</v>
      </c>
      <c r="H1065" s="115">
        <v>0</v>
      </c>
      <c r="I1065" s="115">
        <v>0</v>
      </c>
    </row>
    <row r="1066" spans="1:9" x14ac:dyDescent="0.2">
      <c r="A1066" s="29" t="s">
        <v>321</v>
      </c>
      <c r="B1066" s="30" t="s">
        <v>671</v>
      </c>
      <c r="C1066" s="30" t="s">
        <v>284</v>
      </c>
      <c r="D1066" s="30" t="s">
        <v>174</v>
      </c>
      <c r="E1066" s="30"/>
      <c r="F1066" s="30"/>
      <c r="G1066" s="31">
        <f>G1067+G1077</f>
        <v>38297.119999999995</v>
      </c>
      <c r="H1066" s="31">
        <f>H1067+H1077</f>
        <v>18140</v>
      </c>
      <c r="I1066" s="31">
        <f>I1067+I1077</f>
        <v>18140</v>
      </c>
    </row>
    <row r="1067" spans="1:9" x14ac:dyDescent="0.2">
      <c r="A1067" s="29" t="s">
        <v>329</v>
      </c>
      <c r="B1067" s="30" t="s">
        <v>671</v>
      </c>
      <c r="C1067" s="30" t="s">
        <v>284</v>
      </c>
      <c r="D1067" s="30" t="s">
        <v>283</v>
      </c>
      <c r="E1067" s="30"/>
      <c r="F1067" s="30"/>
      <c r="G1067" s="31">
        <f t="shared" ref="G1067:I1068" si="279">G1068</f>
        <v>20797.12</v>
      </c>
      <c r="H1067" s="31">
        <f t="shared" si="279"/>
        <v>640</v>
      </c>
      <c r="I1067" s="31">
        <f t="shared" si="279"/>
        <v>640</v>
      </c>
    </row>
    <row r="1068" spans="1:9" ht="13.5" x14ac:dyDescent="0.2">
      <c r="A1068" s="38" t="s">
        <v>673</v>
      </c>
      <c r="B1068" s="32" t="s">
        <v>671</v>
      </c>
      <c r="C1068" s="32" t="s">
        <v>284</v>
      </c>
      <c r="D1068" s="32" t="s">
        <v>283</v>
      </c>
      <c r="E1068" s="32" t="s">
        <v>674</v>
      </c>
      <c r="F1068" s="32"/>
      <c r="G1068" s="33">
        <f>G1069</f>
        <v>20797.12</v>
      </c>
      <c r="H1068" s="33">
        <f t="shared" si="279"/>
        <v>640</v>
      </c>
      <c r="I1068" s="33">
        <f t="shared" si="279"/>
        <v>640</v>
      </c>
    </row>
    <row r="1069" spans="1:9" x14ac:dyDescent="0.2">
      <c r="A1069" s="29" t="s">
        <v>701</v>
      </c>
      <c r="B1069" s="30" t="s">
        <v>671</v>
      </c>
      <c r="C1069" s="30" t="s">
        <v>284</v>
      </c>
      <c r="D1069" s="30" t="s">
        <v>283</v>
      </c>
      <c r="E1069" s="30" t="s">
        <v>702</v>
      </c>
      <c r="F1069" s="30"/>
      <c r="G1069" s="31">
        <f>G1070+G1074</f>
        <v>20797.12</v>
      </c>
      <c r="H1069" s="31">
        <f>H1070+H1074</f>
        <v>640</v>
      </c>
      <c r="I1069" s="31">
        <f>I1070+I1074</f>
        <v>640</v>
      </c>
    </row>
    <row r="1070" spans="1:9" ht="36" x14ac:dyDescent="0.2">
      <c r="A1070" s="39" t="s">
        <v>731</v>
      </c>
      <c r="B1070" s="40" t="s">
        <v>671</v>
      </c>
      <c r="C1070" s="40" t="s">
        <v>284</v>
      </c>
      <c r="D1070" s="40" t="s">
        <v>283</v>
      </c>
      <c r="E1070" s="40" t="s">
        <v>732</v>
      </c>
      <c r="F1070" s="40"/>
      <c r="G1070" s="41">
        <f t="shared" ref="G1070:I1070" si="280">G1071</f>
        <v>20157.12</v>
      </c>
      <c r="H1070" s="47">
        <f>H1071</f>
        <v>0</v>
      </c>
      <c r="I1070" s="47">
        <f t="shared" si="280"/>
        <v>0</v>
      </c>
    </row>
    <row r="1071" spans="1:9" x14ac:dyDescent="0.2">
      <c r="A1071" s="35" t="s">
        <v>356</v>
      </c>
      <c r="B1071" s="36" t="s">
        <v>671</v>
      </c>
      <c r="C1071" s="36" t="s">
        <v>284</v>
      </c>
      <c r="D1071" s="36" t="s">
        <v>283</v>
      </c>
      <c r="E1071" s="36" t="s">
        <v>732</v>
      </c>
      <c r="F1071" s="36" t="s">
        <v>357</v>
      </c>
      <c r="G1071" s="37">
        <f>G1072+G1073</f>
        <v>20157.12</v>
      </c>
      <c r="H1071" s="46">
        <f>H1072+H1073</f>
        <v>0</v>
      </c>
      <c r="I1071" s="46">
        <f>I1072+I1073</f>
        <v>0</v>
      </c>
    </row>
    <row r="1072" spans="1:9" x14ac:dyDescent="0.2">
      <c r="A1072" s="35" t="s">
        <v>358</v>
      </c>
      <c r="B1072" s="36" t="s">
        <v>671</v>
      </c>
      <c r="C1072" s="36" t="s">
        <v>284</v>
      </c>
      <c r="D1072" s="36" t="s">
        <v>283</v>
      </c>
      <c r="E1072" s="36" t="s">
        <v>732</v>
      </c>
      <c r="F1072" s="36" t="s">
        <v>359</v>
      </c>
      <c r="G1072" s="37">
        <f>19281.62-363.4</f>
        <v>18918.219999999998</v>
      </c>
      <c r="H1072" s="46">
        <v>0</v>
      </c>
      <c r="I1072" s="46">
        <v>0</v>
      </c>
    </row>
    <row r="1073" spans="1:9" x14ac:dyDescent="0.2">
      <c r="A1073" s="35" t="s">
        <v>383</v>
      </c>
      <c r="B1073" s="36" t="s">
        <v>671</v>
      </c>
      <c r="C1073" s="36" t="s">
        <v>284</v>
      </c>
      <c r="D1073" s="36" t="s">
        <v>283</v>
      </c>
      <c r="E1073" s="36" t="s">
        <v>732</v>
      </c>
      <c r="F1073" s="36" t="s">
        <v>384</v>
      </c>
      <c r="G1073" s="37">
        <f>875.5+363.4</f>
        <v>1238.9000000000001</v>
      </c>
      <c r="H1073" s="46">
        <v>0</v>
      </c>
      <c r="I1073" s="46">
        <v>0</v>
      </c>
    </row>
    <row r="1074" spans="1:9" ht="24" x14ac:dyDescent="0.2">
      <c r="A1074" s="42" t="s">
        <v>733</v>
      </c>
      <c r="B1074" s="40" t="s">
        <v>671</v>
      </c>
      <c r="C1074" s="40" t="s">
        <v>284</v>
      </c>
      <c r="D1074" s="40" t="s">
        <v>283</v>
      </c>
      <c r="E1074" s="40" t="s">
        <v>734</v>
      </c>
      <c r="F1074" s="40"/>
      <c r="G1074" s="41">
        <f t="shared" ref="G1074:I1075" si="281">G1075</f>
        <v>640</v>
      </c>
      <c r="H1074" s="41">
        <f t="shared" si="281"/>
        <v>640</v>
      </c>
      <c r="I1074" s="41">
        <f t="shared" si="281"/>
        <v>640</v>
      </c>
    </row>
    <row r="1075" spans="1:9" x14ac:dyDescent="0.2">
      <c r="A1075" s="35" t="s">
        <v>325</v>
      </c>
      <c r="B1075" s="44">
        <v>612</v>
      </c>
      <c r="C1075" s="36" t="s">
        <v>284</v>
      </c>
      <c r="D1075" s="36" t="s">
        <v>283</v>
      </c>
      <c r="E1075" s="36" t="s">
        <v>734</v>
      </c>
      <c r="F1075" s="36" t="s">
        <v>326</v>
      </c>
      <c r="G1075" s="37">
        <f t="shared" si="281"/>
        <v>640</v>
      </c>
      <c r="H1075" s="37">
        <f t="shared" si="281"/>
        <v>640</v>
      </c>
      <c r="I1075" s="37">
        <f t="shared" si="281"/>
        <v>640</v>
      </c>
    </row>
    <row r="1076" spans="1:9" x14ac:dyDescent="0.2">
      <c r="A1076" s="35" t="s">
        <v>336</v>
      </c>
      <c r="B1076" s="44">
        <v>612</v>
      </c>
      <c r="C1076" s="36" t="s">
        <v>284</v>
      </c>
      <c r="D1076" s="36" t="s">
        <v>283</v>
      </c>
      <c r="E1076" s="36" t="s">
        <v>734</v>
      </c>
      <c r="F1076" s="36" t="s">
        <v>337</v>
      </c>
      <c r="G1076" s="37">
        <v>640</v>
      </c>
      <c r="H1076" s="37">
        <v>640</v>
      </c>
      <c r="I1076" s="37">
        <v>640</v>
      </c>
    </row>
    <row r="1077" spans="1:9" x14ac:dyDescent="0.2">
      <c r="A1077" s="29" t="s">
        <v>735</v>
      </c>
      <c r="B1077" s="30" t="s">
        <v>671</v>
      </c>
      <c r="C1077" s="30" t="s">
        <v>284</v>
      </c>
      <c r="D1077" s="30" t="s">
        <v>177</v>
      </c>
      <c r="E1077" s="30" t="s">
        <v>734</v>
      </c>
      <c r="F1077" s="30"/>
      <c r="G1077" s="31">
        <f t="shared" ref="G1077:I1081" si="282">G1078</f>
        <v>17500</v>
      </c>
      <c r="H1077" s="31">
        <f t="shared" si="282"/>
        <v>17500</v>
      </c>
      <c r="I1077" s="31">
        <f t="shared" si="282"/>
        <v>17500</v>
      </c>
    </row>
    <row r="1078" spans="1:9" ht="13.5" x14ac:dyDescent="0.2">
      <c r="A1078" s="38" t="s">
        <v>673</v>
      </c>
      <c r="B1078" s="32" t="s">
        <v>671</v>
      </c>
      <c r="C1078" s="32" t="s">
        <v>284</v>
      </c>
      <c r="D1078" s="32" t="s">
        <v>177</v>
      </c>
      <c r="E1078" s="32" t="s">
        <v>674</v>
      </c>
      <c r="F1078" s="40"/>
      <c r="G1078" s="33">
        <f t="shared" si="282"/>
        <v>17500</v>
      </c>
      <c r="H1078" s="33">
        <f t="shared" si="282"/>
        <v>17500</v>
      </c>
      <c r="I1078" s="33">
        <f t="shared" si="282"/>
        <v>17500</v>
      </c>
    </row>
    <row r="1079" spans="1:9" x14ac:dyDescent="0.2">
      <c r="A1079" s="29" t="s">
        <v>701</v>
      </c>
      <c r="B1079" s="30" t="s">
        <v>671</v>
      </c>
      <c r="C1079" s="30" t="s">
        <v>284</v>
      </c>
      <c r="D1079" s="30" t="s">
        <v>177</v>
      </c>
      <c r="E1079" s="30" t="s">
        <v>702</v>
      </c>
      <c r="F1079" s="30"/>
      <c r="G1079" s="31">
        <f t="shared" si="282"/>
        <v>17500</v>
      </c>
      <c r="H1079" s="31">
        <f t="shared" si="282"/>
        <v>17500</v>
      </c>
      <c r="I1079" s="31">
        <f t="shared" si="282"/>
        <v>17500</v>
      </c>
    </row>
    <row r="1080" spans="1:9" ht="36" x14ac:dyDescent="0.2">
      <c r="A1080" s="214" t="s">
        <v>736</v>
      </c>
      <c r="B1080" s="49" t="s">
        <v>671</v>
      </c>
      <c r="C1080" s="49" t="s">
        <v>284</v>
      </c>
      <c r="D1080" s="49" t="s">
        <v>177</v>
      </c>
      <c r="E1080" s="49" t="s">
        <v>737</v>
      </c>
      <c r="F1080" s="49"/>
      <c r="G1080" s="53">
        <f t="shared" si="282"/>
        <v>17500</v>
      </c>
      <c r="H1080" s="53">
        <f t="shared" si="282"/>
        <v>17500</v>
      </c>
      <c r="I1080" s="53">
        <f t="shared" si="282"/>
        <v>17500</v>
      </c>
    </row>
    <row r="1081" spans="1:9" x14ac:dyDescent="0.2">
      <c r="A1081" s="35" t="s">
        <v>325</v>
      </c>
      <c r="B1081" s="36" t="s">
        <v>671</v>
      </c>
      <c r="C1081" s="36" t="s">
        <v>284</v>
      </c>
      <c r="D1081" s="36" t="s">
        <v>177</v>
      </c>
      <c r="E1081" s="36" t="s">
        <v>737</v>
      </c>
      <c r="F1081" s="36" t="s">
        <v>326</v>
      </c>
      <c r="G1081" s="37">
        <f t="shared" si="282"/>
        <v>17500</v>
      </c>
      <c r="H1081" s="37">
        <f t="shared" si="282"/>
        <v>17500</v>
      </c>
      <c r="I1081" s="37">
        <f t="shared" si="282"/>
        <v>17500</v>
      </c>
    </row>
    <row r="1082" spans="1:9" x14ac:dyDescent="0.2">
      <c r="A1082" s="35" t="s">
        <v>738</v>
      </c>
      <c r="B1082" s="36" t="s">
        <v>671</v>
      </c>
      <c r="C1082" s="36" t="s">
        <v>284</v>
      </c>
      <c r="D1082" s="36" t="s">
        <v>177</v>
      </c>
      <c r="E1082" s="36" t="s">
        <v>737</v>
      </c>
      <c r="F1082" s="36" t="s">
        <v>328</v>
      </c>
      <c r="G1082" s="37">
        <v>17500</v>
      </c>
      <c r="H1082" s="37">
        <v>17500</v>
      </c>
      <c r="I1082" s="37">
        <v>17500</v>
      </c>
    </row>
    <row r="1083" spans="1:9" ht="15.75" x14ac:dyDescent="0.2">
      <c r="A1083" s="200" t="s">
        <v>739</v>
      </c>
      <c r="B1083" s="34" t="s">
        <v>740</v>
      </c>
      <c r="C1083" s="205"/>
      <c r="D1083" s="205"/>
      <c r="E1083" s="34"/>
      <c r="F1083" s="34"/>
      <c r="G1083" s="215">
        <f t="shared" ref="G1083:G1084" si="283">G1084</f>
        <v>31715.319390000001</v>
      </c>
      <c r="H1083" s="249">
        <v>0</v>
      </c>
      <c r="I1083" s="249">
        <v>0</v>
      </c>
    </row>
    <row r="1084" spans="1:9" x14ac:dyDescent="0.2">
      <c r="A1084" s="29" t="s">
        <v>172</v>
      </c>
      <c r="B1084" s="30" t="s">
        <v>740</v>
      </c>
      <c r="C1084" s="30" t="s">
        <v>173</v>
      </c>
      <c r="D1084" s="30" t="s">
        <v>174</v>
      </c>
      <c r="E1084" s="30"/>
      <c r="F1084" s="30"/>
      <c r="G1084" s="45">
        <f t="shared" si="283"/>
        <v>31715.319390000001</v>
      </c>
      <c r="H1084" s="249">
        <v>0</v>
      </c>
      <c r="I1084" s="249">
        <v>0</v>
      </c>
    </row>
    <row r="1085" spans="1:9" ht="24" x14ac:dyDescent="0.2">
      <c r="A1085" s="29" t="s">
        <v>175</v>
      </c>
      <c r="B1085" s="30" t="s">
        <v>740</v>
      </c>
      <c r="C1085" s="30" t="s">
        <v>173</v>
      </c>
      <c r="D1085" s="30" t="s">
        <v>177</v>
      </c>
      <c r="E1085" s="30"/>
      <c r="F1085" s="30"/>
      <c r="G1085" s="31">
        <f>G1086</f>
        <v>31715.319390000001</v>
      </c>
      <c r="H1085" s="249">
        <v>0</v>
      </c>
      <c r="I1085" s="249">
        <v>0</v>
      </c>
    </row>
    <row r="1086" spans="1:9" x14ac:dyDescent="0.2">
      <c r="A1086" s="39" t="s">
        <v>178</v>
      </c>
      <c r="B1086" s="40" t="s">
        <v>740</v>
      </c>
      <c r="C1086" s="40" t="s">
        <v>173</v>
      </c>
      <c r="D1086" s="40" t="s">
        <v>177</v>
      </c>
      <c r="E1086" s="40" t="s">
        <v>189</v>
      </c>
      <c r="F1086" s="40"/>
      <c r="G1086" s="41">
        <f>G1087</f>
        <v>31715.319390000001</v>
      </c>
      <c r="H1086" s="249">
        <v>0</v>
      </c>
      <c r="I1086" s="249">
        <v>0</v>
      </c>
    </row>
    <row r="1087" spans="1:9" x14ac:dyDescent="0.2">
      <c r="A1087" s="29" t="s">
        <v>180</v>
      </c>
      <c r="B1087" s="30" t="s">
        <v>740</v>
      </c>
      <c r="C1087" s="30" t="s">
        <v>173</v>
      </c>
      <c r="D1087" s="30" t="s">
        <v>177</v>
      </c>
      <c r="E1087" s="30" t="s">
        <v>190</v>
      </c>
      <c r="F1087" s="30"/>
      <c r="G1087" s="31">
        <f>G1088+G1091+G1096</f>
        <v>31715.319390000001</v>
      </c>
      <c r="H1087" s="249">
        <v>0</v>
      </c>
      <c r="I1087" s="249">
        <v>0</v>
      </c>
    </row>
    <row r="1088" spans="1:9" x14ac:dyDescent="0.2">
      <c r="A1088" s="29" t="s">
        <v>183</v>
      </c>
      <c r="B1088" s="30" t="s">
        <v>740</v>
      </c>
      <c r="C1088" s="30" t="s">
        <v>173</v>
      </c>
      <c r="D1088" s="30" t="s">
        <v>177</v>
      </c>
      <c r="E1088" s="30" t="s">
        <v>192</v>
      </c>
      <c r="F1088" s="30"/>
      <c r="G1088" s="31">
        <f>G1089</f>
        <v>27497.016</v>
      </c>
      <c r="H1088" s="249">
        <v>0</v>
      </c>
      <c r="I1088" s="249">
        <v>0</v>
      </c>
    </row>
    <row r="1089" spans="1:9" ht="24" x14ac:dyDescent="0.2">
      <c r="A1089" s="35" t="s">
        <v>185</v>
      </c>
      <c r="B1089" s="36" t="s">
        <v>740</v>
      </c>
      <c r="C1089" s="36" t="s">
        <v>173</v>
      </c>
      <c r="D1089" s="36" t="s">
        <v>177</v>
      </c>
      <c r="E1089" s="36" t="s">
        <v>192</v>
      </c>
      <c r="F1089" s="36" t="s">
        <v>186</v>
      </c>
      <c r="G1089" s="37">
        <f>G1090</f>
        <v>27497.016</v>
      </c>
      <c r="H1089" s="249">
        <v>0</v>
      </c>
      <c r="I1089" s="249">
        <v>0</v>
      </c>
    </row>
    <row r="1090" spans="1:9" x14ac:dyDescent="0.2">
      <c r="A1090" s="35" t="s">
        <v>187</v>
      </c>
      <c r="B1090" s="36" t="s">
        <v>740</v>
      </c>
      <c r="C1090" s="36" t="s">
        <v>173</v>
      </c>
      <c r="D1090" s="36" t="s">
        <v>177</v>
      </c>
      <c r="E1090" s="36" t="s">
        <v>192</v>
      </c>
      <c r="F1090" s="36" t="s">
        <v>188</v>
      </c>
      <c r="G1090" s="37">
        <f>20000+7997.016-500</f>
        <v>27497.016</v>
      </c>
      <c r="H1090" s="249">
        <v>0</v>
      </c>
      <c r="I1090" s="249">
        <v>0</v>
      </c>
    </row>
    <row r="1091" spans="1:9" x14ac:dyDescent="0.2">
      <c r="A1091" s="29" t="s">
        <v>193</v>
      </c>
      <c r="B1091" s="30" t="s">
        <v>740</v>
      </c>
      <c r="C1091" s="30" t="s">
        <v>173</v>
      </c>
      <c r="D1091" s="30" t="s">
        <v>177</v>
      </c>
      <c r="E1091" s="30" t="s">
        <v>194</v>
      </c>
      <c r="F1091" s="30"/>
      <c r="G1091" s="31">
        <f>G1092+G1094</f>
        <v>3392.625</v>
      </c>
      <c r="H1091" s="249">
        <v>0</v>
      </c>
      <c r="I1091" s="249">
        <v>0</v>
      </c>
    </row>
    <row r="1092" spans="1:9" x14ac:dyDescent="0.2">
      <c r="A1092" s="35" t="s">
        <v>195</v>
      </c>
      <c r="B1092" s="36" t="s">
        <v>740</v>
      </c>
      <c r="C1092" s="36" t="s">
        <v>173</v>
      </c>
      <c r="D1092" s="36" t="s">
        <v>177</v>
      </c>
      <c r="E1092" s="36" t="s">
        <v>194</v>
      </c>
      <c r="F1092" s="36" t="s">
        <v>196</v>
      </c>
      <c r="G1092" s="37">
        <f>G1093</f>
        <v>3387.625</v>
      </c>
      <c r="H1092" s="249">
        <v>0</v>
      </c>
      <c r="I1092" s="249">
        <v>0</v>
      </c>
    </row>
    <row r="1093" spans="1:9" x14ac:dyDescent="0.2">
      <c r="A1093" s="35" t="s">
        <v>197</v>
      </c>
      <c r="B1093" s="36" t="s">
        <v>740</v>
      </c>
      <c r="C1093" s="36" t="s">
        <v>173</v>
      </c>
      <c r="D1093" s="36" t="s">
        <v>177</v>
      </c>
      <c r="E1093" s="36" t="s">
        <v>194</v>
      </c>
      <c r="F1093" s="36" t="s">
        <v>198</v>
      </c>
      <c r="G1093" s="37">
        <f>995+500+142.625+1150+600</f>
        <v>3387.625</v>
      </c>
      <c r="H1093" s="249">
        <v>0</v>
      </c>
      <c r="I1093" s="249">
        <v>0</v>
      </c>
    </row>
    <row r="1094" spans="1:9" x14ac:dyDescent="0.2">
      <c r="A1094" s="35" t="s">
        <v>199</v>
      </c>
      <c r="B1094" s="36" t="s">
        <v>740</v>
      </c>
      <c r="C1094" s="36" t="s">
        <v>173</v>
      </c>
      <c r="D1094" s="36" t="s">
        <v>177</v>
      </c>
      <c r="E1094" s="36" t="s">
        <v>194</v>
      </c>
      <c r="F1094" s="36" t="s">
        <v>200</v>
      </c>
      <c r="G1094" s="37">
        <f>G1095</f>
        <v>5</v>
      </c>
      <c r="H1094" s="249">
        <v>0</v>
      </c>
      <c r="I1094" s="249">
        <v>0</v>
      </c>
    </row>
    <row r="1095" spans="1:9" x14ac:dyDescent="0.2">
      <c r="A1095" s="35" t="s">
        <v>201</v>
      </c>
      <c r="B1095" s="36" t="s">
        <v>740</v>
      </c>
      <c r="C1095" s="36" t="s">
        <v>173</v>
      </c>
      <c r="D1095" s="36" t="s">
        <v>177</v>
      </c>
      <c r="E1095" s="36" t="s">
        <v>194</v>
      </c>
      <c r="F1095" s="36" t="s">
        <v>202</v>
      </c>
      <c r="G1095" s="37">
        <v>5</v>
      </c>
      <c r="H1095" s="249">
        <v>0</v>
      </c>
      <c r="I1095" s="249">
        <v>0</v>
      </c>
    </row>
    <row r="1096" spans="1:9" x14ac:dyDescent="0.2">
      <c r="A1096" s="75" t="s">
        <v>203</v>
      </c>
      <c r="B1096" s="74" t="s">
        <v>740</v>
      </c>
      <c r="C1096" s="74" t="s">
        <v>173</v>
      </c>
      <c r="D1096" s="74" t="s">
        <v>177</v>
      </c>
      <c r="E1096" s="74" t="s">
        <v>204</v>
      </c>
      <c r="F1096" s="74"/>
      <c r="G1096" s="127">
        <f t="shared" ref="G1096:G1097" si="284">G1097</f>
        <v>825.67839000000004</v>
      </c>
      <c r="H1096" s="249">
        <v>0</v>
      </c>
      <c r="I1096" s="249">
        <v>0</v>
      </c>
    </row>
    <row r="1097" spans="1:9" ht="24" x14ac:dyDescent="0.2">
      <c r="A1097" s="73" t="s">
        <v>185</v>
      </c>
      <c r="B1097" s="12" t="s">
        <v>740</v>
      </c>
      <c r="C1097" s="12" t="s">
        <v>173</v>
      </c>
      <c r="D1097" s="12" t="s">
        <v>177</v>
      </c>
      <c r="E1097" s="12" t="s">
        <v>204</v>
      </c>
      <c r="F1097" s="12" t="s">
        <v>186</v>
      </c>
      <c r="G1097" s="115">
        <f t="shared" si="284"/>
        <v>825.67839000000004</v>
      </c>
      <c r="H1097" s="249">
        <v>0</v>
      </c>
      <c r="I1097" s="249">
        <v>0</v>
      </c>
    </row>
    <row r="1098" spans="1:9" x14ac:dyDescent="0.2">
      <c r="A1098" s="73" t="s">
        <v>187</v>
      </c>
      <c r="B1098" s="12" t="s">
        <v>740</v>
      </c>
      <c r="C1098" s="12" t="s">
        <v>173</v>
      </c>
      <c r="D1098" s="12" t="s">
        <v>177</v>
      </c>
      <c r="E1098" s="12" t="s">
        <v>204</v>
      </c>
      <c r="F1098" s="12" t="s">
        <v>188</v>
      </c>
      <c r="G1098" s="115">
        <v>825.67839000000004</v>
      </c>
      <c r="H1098" s="249">
        <v>0</v>
      </c>
      <c r="I1098" s="249">
        <v>0</v>
      </c>
    </row>
    <row r="1099" spans="1:9" ht="15.75" x14ac:dyDescent="0.2">
      <c r="A1099" s="200" t="s">
        <v>741</v>
      </c>
      <c r="B1099" s="34" t="s">
        <v>742</v>
      </c>
      <c r="C1099" s="34"/>
      <c r="D1099" s="34"/>
      <c r="E1099" s="34"/>
      <c r="F1099" s="34"/>
      <c r="G1099" s="201">
        <f>G1100</f>
        <v>48182.148999999998</v>
      </c>
      <c r="H1099" s="201">
        <f t="shared" ref="H1099:I1099" si="285">H1100</f>
        <v>43624.4</v>
      </c>
      <c r="I1099" s="201">
        <f t="shared" si="285"/>
        <v>43724.200000000004</v>
      </c>
    </row>
    <row r="1100" spans="1:9" x14ac:dyDescent="0.2">
      <c r="A1100" s="29" t="s">
        <v>172</v>
      </c>
      <c r="B1100" s="30" t="s">
        <v>742</v>
      </c>
      <c r="C1100" s="30" t="s">
        <v>173</v>
      </c>
      <c r="D1100" s="30" t="s">
        <v>174</v>
      </c>
      <c r="E1100" s="30"/>
      <c r="F1100" s="30"/>
      <c r="G1100" s="31">
        <f>G1104+G1108+G1119</f>
        <v>48182.148999999998</v>
      </c>
      <c r="H1100" s="31">
        <f>H1104+H1108+H1119</f>
        <v>43624.4</v>
      </c>
      <c r="I1100" s="31">
        <f>I1104+I1108+I1119</f>
        <v>43724.200000000004</v>
      </c>
    </row>
    <row r="1101" spans="1:9" ht="15.75" customHeight="1" x14ac:dyDescent="0.2">
      <c r="A1101" s="29" t="s">
        <v>743</v>
      </c>
      <c r="B1101" s="30" t="s">
        <v>742</v>
      </c>
      <c r="C1101" s="30" t="s">
        <v>173</v>
      </c>
      <c r="D1101" s="30" t="s">
        <v>352</v>
      </c>
      <c r="E1101" s="30"/>
      <c r="F1101" s="30"/>
      <c r="G1101" s="31">
        <f>G1102</f>
        <v>3518.2980000000002</v>
      </c>
      <c r="H1101" s="31">
        <f t="shared" ref="H1101:I1101" si="286">H1102</f>
        <v>2645.4</v>
      </c>
      <c r="I1101" s="31">
        <f t="shared" si="286"/>
        <v>2645.4</v>
      </c>
    </row>
    <row r="1102" spans="1:9" x14ac:dyDescent="0.2">
      <c r="A1102" s="39" t="s">
        <v>744</v>
      </c>
      <c r="B1102" s="40" t="s">
        <v>742</v>
      </c>
      <c r="C1102" s="40" t="s">
        <v>173</v>
      </c>
      <c r="D1102" s="40" t="s">
        <v>352</v>
      </c>
      <c r="E1102" s="40" t="s">
        <v>745</v>
      </c>
      <c r="F1102" s="40"/>
      <c r="G1102" s="41">
        <f t="shared" ref="G1102:I1106" si="287">G1103</f>
        <v>3518.2980000000002</v>
      </c>
      <c r="H1102" s="41">
        <f t="shared" si="287"/>
        <v>2645.4</v>
      </c>
      <c r="I1102" s="41">
        <f t="shared" si="287"/>
        <v>2645.4</v>
      </c>
    </row>
    <row r="1103" spans="1:9" x14ac:dyDescent="0.2">
      <c r="A1103" s="29" t="s">
        <v>353</v>
      </c>
      <c r="B1103" s="30" t="s">
        <v>742</v>
      </c>
      <c r="C1103" s="30" t="s">
        <v>173</v>
      </c>
      <c r="D1103" s="30" t="s">
        <v>352</v>
      </c>
      <c r="E1103" s="30" t="s">
        <v>746</v>
      </c>
      <c r="F1103" s="30"/>
      <c r="G1103" s="31">
        <f t="shared" si="287"/>
        <v>3518.2980000000002</v>
      </c>
      <c r="H1103" s="31">
        <f t="shared" si="287"/>
        <v>2645.4</v>
      </c>
      <c r="I1103" s="31">
        <f t="shared" si="287"/>
        <v>2645.4</v>
      </c>
    </row>
    <row r="1104" spans="1:9" x14ac:dyDescent="0.2">
      <c r="A1104" s="52" t="s">
        <v>747</v>
      </c>
      <c r="B1104" s="49" t="s">
        <v>742</v>
      </c>
      <c r="C1104" s="49" t="s">
        <v>173</v>
      </c>
      <c r="D1104" s="49" t="s">
        <v>352</v>
      </c>
      <c r="E1104" s="49" t="s">
        <v>748</v>
      </c>
      <c r="F1104" s="36"/>
      <c r="G1104" s="53">
        <f t="shared" si="287"/>
        <v>3518.2980000000002</v>
      </c>
      <c r="H1104" s="53">
        <f t="shared" si="287"/>
        <v>2645.4</v>
      </c>
      <c r="I1104" s="53">
        <f t="shared" si="287"/>
        <v>2645.4</v>
      </c>
    </row>
    <row r="1105" spans="1:9" x14ac:dyDescent="0.2">
      <c r="A1105" s="216" t="s">
        <v>749</v>
      </c>
      <c r="B1105" s="67" t="s">
        <v>742</v>
      </c>
      <c r="C1105" s="67" t="s">
        <v>173</v>
      </c>
      <c r="D1105" s="67" t="s">
        <v>352</v>
      </c>
      <c r="E1105" s="67" t="s">
        <v>750</v>
      </c>
      <c r="F1105" s="217"/>
      <c r="G1105" s="31">
        <f t="shared" si="287"/>
        <v>3518.2980000000002</v>
      </c>
      <c r="H1105" s="31">
        <f t="shared" si="287"/>
        <v>2645.4</v>
      </c>
      <c r="I1105" s="31">
        <f t="shared" si="287"/>
        <v>2645.4</v>
      </c>
    </row>
    <row r="1106" spans="1:9" ht="24" x14ac:dyDescent="0.2">
      <c r="A1106" s="35" t="s">
        <v>185</v>
      </c>
      <c r="B1106" s="36" t="s">
        <v>742</v>
      </c>
      <c r="C1106" s="36" t="s">
        <v>173</v>
      </c>
      <c r="D1106" s="36" t="s">
        <v>352</v>
      </c>
      <c r="E1106" s="36" t="s">
        <v>751</v>
      </c>
      <c r="F1106" s="36" t="s">
        <v>186</v>
      </c>
      <c r="G1106" s="37">
        <f t="shared" si="287"/>
        <v>3518.2980000000002</v>
      </c>
      <c r="H1106" s="37">
        <f t="shared" si="287"/>
        <v>2645.4</v>
      </c>
      <c r="I1106" s="37">
        <f t="shared" si="287"/>
        <v>2645.4</v>
      </c>
    </row>
    <row r="1107" spans="1:9" x14ac:dyDescent="0.2">
      <c r="A1107" s="35" t="s">
        <v>187</v>
      </c>
      <c r="B1107" s="36" t="s">
        <v>742</v>
      </c>
      <c r="C1107" s="36" t="s">
        <v>173</v>
      </c>
      <c r="D1107" s="36" t="s">
        <v>352</v>
      </c>
      <c r="E1107" s="36" t="s">
        <v>751</v>
      </c>
      <c r="F1107" s="36" t="s">
        <v>188</v>
      </c>
      <c r="G1107" s="37">
        <f>2645.4+105.898+454+313</f>
        <v>3518.2980000000002</v>
      </c>
      <c r="H1107" s="37">
        <v>2645.4</v>
      </c>
      <c r="I1107" s="37">
        <v>2645.4</v>
      </c>
    </row>
    <row r="1108" spans="1:9" ht="24" x14ac:dyDescent="0.2">
      <c r="A1108" s="29" t="s">
        <v>752</v>
      </c>
      <c r="B1108" s="30" t="s">
        <v>742</v>
      </c>
      <c r="C1108" s="30" t="s">
        <v>173</v>
      </c>
      <c r="D1108" s="30" t="s">
        <v>283</v>
      </c>
      <c r="E1108" s="30"/>
      <c r="F1108" s="30"/>
      <c r="G1108" s="31">
        <f t="shared" ref="G1108:I1109" si="288">G1109</f>
        <v>42264.850999999995</v>
      </c>
      <c r="H1108" s="31">
        <f t="shared" si="288"/>
        <v>38484</v>
      </c>
      <c r="I1108" s="31">
        <f t="shared" si="288"/>
        <v>38484</v>
      </c>
    </row>
    <row r="1109" spans="1:9" ht="13.5" x14ac:dyDescent="0.2">
      <c r="A1109" s="39" t="s">
        <v>753</v>
      </c>
      <c r="B1109" s="40" t="s">
        <v>742</v>
      </c>
      <c r="C1109" s="40" t="s">
        <v>173</v>
      </c>
      <c r="D1109" s="40" t="s">
        <v>283</v>
      </c>
      <c r="E1109" s="56" t="s">
        <v>754</v>
      </c>
      <c r="F1109" s="54"/>
      <c r="G1109" s="41">
        <f>G1110</f>
        <v>42264.850999999995</v>
      </c>
      <c r="H1109" s="41">
        <f t="shared" si="288"/>
        <v>38484</v>
      </c>
      <c r="I1109" s="41">
        <f t="shared" si="288"/>
        <v>38484</v>
      </c>
    </row>
    <row r="1110" spans="1:9" x14ac:dyDescent="0.2">
      <c r="A1110" s="29" t="s">
        <v>353</v>
      </c>
      <c r="B1110" s="30" t="s">
        <v>742</v>
      </c>
      <c r="C1110" s="30" t="s">
        <v>173</v>
      </c>
      <c r="D1110" s="30" t="s">
        <v>283</v>
      </c>
      <c r="E1110" s="218" t="s">
        <v>755</v>
      </c>
      <c r="F1110" s="55"/>
      <c r="G1110" s="31">
        <f>G1111+G1114</f>
        <v>42264.850999999995</v>
      </c>
      <c r="H1110" s="31">
        <f>H1111+H1114</f>
        <v>38484</v>
      </c>
      <c r="I1110" s="31">
        <f>I1111+I1114</f>
        <v>38484</v>
      </c>
    </row>
    <row r="1111" spans="1:9" x14ac:dyDescent="0.2">
      <c r="A1111" s="216" t="s">
        <v>749</v>
      </c>
      <c r="B1111" s="67" t="s">
        <v>742</v>
      </c>
      <c r="C1111" s="67" t="s">
        <v>173</v>
      </c>
      <c r="D1111" s="67" t="s">
        <v>283</v>
      </c>
      <c r="E1111" s="67" t="s">
        <v>756</v>
      </c>
      <c r="F1111" s="217"/>
      <c r="G1111" s="31">
        <f t="shared" ref="G1111:I1112" si="289">G1112</f>
        <v>36879.850999999995</v>
      </c>
      <c r="H1111" s="31">
        <f t="shared" si="289"/>
        <v>33099</v>
      </c>
      <c r="I1111" s="31">
        <f t="shared" si="289"/>
        <v>33099</v>
      </c>
    </row>
    <row r="1112" spans="1:9" ht="24" x14ac:dyDescent="0.2">
      <c r="A1112" s="35" t="s">
        <v>185</v>
      </c>
      <c r="B1112" s="36" t="s">
        <v>742</v>
      </c>
      <c r="C1112" s="36" t="s">
        <v>173</v>
      </c>
      <c r="D1112" s="36" t="s">
        <v>283</v>
      </c>
      <c r="E1112" s="36" t="s">
        <v>756</v>
      </c>
      <c r="F1112" s="36" t="s">
        <v>186</v>
      </c>
      <c r="G1112" s="37">
        <f t="shared" si="289"/>
        <v>36879.850999999995</v>
      </c>
      <c r="H1112" s="37">
        <f t="shared" si="289"/>
        <v>33099</v>
      </c>
      <c r="I1112" s="37">
        <f t="shared" si="289"/>
        <v>33099</v>
      </c>
    </row>
    <row r="1113" spans="1:9" x14ac:dyDescent="0.2">
      <c r="A1113" s="35" t="s">
        <v>187</v>
      </c>
      <c r="B1113" s="36" t="s">
        <v>742</v>
      </c>
      <c r="C1113" s="36" t="s">
        <v>173</v>
      </c>
      <c r="D1113" s="36" t="s">
        <v>283</v>
      </c>
      <c r="E1113" s="36" t="s">
        <v>756</v>
      </c>
      <c r="F1113" s="36" t="s">
        <v>188</v>
      </c>
      <c r="G1113" s="37">
        <f>33099+2959.749-105.898+486+441</f>
        <v>36879.850999999995</v>
      </c>
      <c r="H1113" s="37">
        <v>33099</v>
      </c>
      <c r="I1113" s="37">
        <v>33099</v>
      </c>
    </row>
    <row r="1114" spans="1:9" x14ac:dyDescent="0.2">
      <c r="A1114" s="29" t="s">
        <v>757</v>
      </c>
      <c r="B1114" s="30" t="s">
        <v>742</v>
      </c>
      <c r="C1114" s="30" t="s">
        <v>173</v>
      </c>
      <c r="D1114" s="30" t="s">
        <v>283</v>
      </c>
      <c r="E1114" s="30" t="s">
        <v>758</v>
      </c>
      <c r="F1114" s="36"/>
      <c r="G1114" s="31">
        <f>G1115+G1117</f>
        <v>5385</v>
      </c>
      <c r="H1114" s="31">
        <f>H1115+H1117</f>
        <v>5385</v>
      </c>
      <c r="I1114" s="31">
        <f>I1115+I1117</f>
        <v>5385</v>
      </c>
    </row>
    <row r="1115" spans="1:9" x14ac:dyDescent="0.2">
      <c r="A1115" s="35" t="s">
        <v>195</v>
      </c>
      <c r="B1115" s="36" t="s">
        <v>742</v>
      </c>
      <c r="C1115" s="36" t="s">
        <v>173</v>
      </c>
      <c r="D1115" s="36" t="s">
        <v>283</v>
      </c>
      <c r="E1115" s="36" t="s">
        <v>758</v>
      </c>
      <c r="F1115" s="36" t="s">
        <v>196</v>
      </c>
      <c r="G1115" s="37">
        <f>G1116</f>
        <v>5365</v>
      </c>
      <c r="H1115" s="37">
        <f>H1116</f>
        <v>5365</v>
      </c>
      <c r="I1115" s="37">
        <f>I1116</f>
        <v>5365</v>
      </c>
    </row>
    <row r="1116" spans="1:9" x14ac:dyDescent="0.2">
      <c r="A1116" s="35" t="s">
        <v>197</v>
      </c>
      <c r="B1116" s="36" t="s">
        <v>742</v>
      </c>
      <c r="C1116" s="36" t="s">
        <v>173</v>
      </c>
      <c r="D1116" s="36" t="s">
        <v>283</v>
      </c>
      <c r="E1116" s="36" t="s">
        <v>758</v>
      </c>
      <c r="F1116" s="36" t="s">
        <v>198</v>
      </c>
      <c r="G1116" s="37">
        <v>5365</v>
      </c>
      <c r="H1116" s="37">
        <v>5365</v>
      </c>
      <c r="I1116" s="37">
        <v>5365</v>
      </c>
    </row>
    <row r="1117" spans="1:9" x14ac:dyDescent="0.2">
      <c r="A1117" s="35" t="s">
        <v>199</v>
      </c>
      <c r="B1117" s="36" t="s">
        <v>742</v>
      </c>
      <c r="C1117" s="36" t="s">
        <v>173</v>
      </c>
      <c r="D1117" s="36" t="s">
        <v>283</v>
      </c>
      <c r="E1117" s="36" t="s">
        <v>758</v>
      </c>
      <c r="F1117" s="36" t="s">
        <v>200</v>
      </c>
      <c r="G1117" s="37">
        <f>G1118</f>
        <v>20</v>
      </c>
      <c r="H1117" s="37">
        <f>H1118</f>
        <v>20</v>
      </c>
      <c r="I1117" s="37">
        <f>I1118</f>
        <v>20</v>
      </c>
    </row>
    <row r="1118" spans="1:9" x14ac:dyDescent="0.2">
      <c r="A1118" s="35" t="s">
        <v>201</v>
      </c>
      <c r="B1118" s="36" t="s">
        <v>742</v>
      </c>
      <c r="C1118" s="36" t="s">
        <v>173</v>
      </c>
      <c r="D1118" s="36" t="s">
        <v>283</v>
      </c>
      <c r="E1118" s="36" t="s">
        <v>758</v>
      </c>
      <c r="F1118" s="36" t="s">
        <v>202</v>
      </c>
      <c r="G1118" s="37">
        <v>20</v>
      </c>
      <c r="H1118" s="37">
        <v>20</v>
      </c>
      <c r="I1118" s="37">
        <v>20</v>
      </c>
    </row>
    <row r="1119" spans="1:9" x14ac:dyDescent="0.2">
      <c r="A1119" s="39" t="s">
        <v>744</v>
      </c>
      <c r="B1119" s="40" t="s">
        <v>742</v>
      </c>
      <c r="C1119" s="40" t="s">
        <v>173</v>
      </c>
      <c r="D1119" s="40" t="s">
        <v>216</v>
      </c>
      <c r="E1119" s="40" t="s">
        <v>189</v>
      </c>
      <c r="F1119" s="40"/>
      <c r="G1119" s="41">
        <f t="shared" ref="G1119:I1120" si="290">G1120</f>
        <v>2399</v>
      </c>
      <c r="H1119" s="41">
        <f t="shared" si="290"/>
        <v>2495</v>
      </c>
      <c r="I1119" s="41">
        <f t="shared" si="290"/>
        <v>2594.8000000000002</v>
      </c>
    </row>
    <row r="1120" spans="1:9" x14ac:dyDescent="0.2">
      <c r="A1120" s="29" t="s">
        <v>353</v>
      </c>
      <c r="B1120" s="30" t="s">
        <v>742</v>
      </c>
      <c r="C1120" s="30" t="s">
        <v>173</v>
      </c>
      <c r="D1120" s="30" t="s">
        <v>216</v>
      </c>
      <c r="E1120" s="30" t="s">
        <v>190</v>
      </c>
      <c r="F1120" s="30"/>
      <c r="G1120" s="31">
        <f t="shared" si="290"/>
        <v>2399</v>
      </c>
      <c r="H1120" s="31">
        <f t="shared" si="290"/>
        <v>2495</v>
      </c>
      <c r="I1120" s="31">
        <f t="shared" si="290"/>
        <v>2594.8000000000002</v>
      </c>
    </row>
    <row r="1121" spans="1:9" ht="24" x14ac:dyDescent="0.2">
      <c r="A1121" s="52" t="s">
        <v>759</v>
      </c>
      <c r="B1121" s="49" t="s">
        <v>742</v>
      </c>
      <c r="C1121" s="49" t="s">
        <v>173</v>
      </c>
      <c r="D1121" s="49" t="s">
        <v>216</v>
      </c>
      <c r="E1121" s="49" t="s">
        <v>760</v>
      </c>
      <c r="F1121" s="49"/>
      <c r="G1121" s="53">
        <f>G1122+G1125</f>
        <v>2399</v>
      </c>
      <c r="H1121" s="53">
        <f>H1122+H1125</f>
        <v>2495</v>
      </c>
      <c r="I1121" s="53">
        <f>I1122+I1125</f>
        <v>2594.8000000000002</v>
      </c>
    </row>
    <row r="1122" spans="1:9" x14ac:dyDescent="0.2">
      <c r="A1122" s="29" t="s">
        <v>761</v>
      </c>
      <c r="B1122" s="30" t="s">
        <v>742</v>
      </c>
      <c r="C1122" s="30" t="s">
        <v>173</v>
      </c>
      <c r="D1122" s="30" t="s">
        <v>216</v>
      </c>
      <c r="E1122" s="30" t="s">
        <v>760</v>
      </c>
      <c r="F1122" s="30"/>
      <c r="G1122" s="31">
        <f t="shared" ref="G1122:I1123" si="291">G1123</f>
        <v>2387</v>
      </c>
      <c r="H1122" s="31">
        <f t="shared" si="291"/>
        <v>2483</v>
      </c>
      <c r="I1122" s="31">
        <f t="shared" si="291"/>
        <v>2582.8000000000002</v>
      </c>
    </row>
    <row r="1123" spans="1:9" ht="24" x14ac:dyDescent="0.2">
      <c r="A1123" s="35" t="s">
        <v>185</v>
      </c>
      <c r="B1123" s="36" t="s">
        <v>742</v>
      </c>
      <c r="C1123" s="36" t="s">
        <v>173</v>
      </c>
      <c r="D1123" s="36" t="s">
        <v>216</v>
      </c>
      <c r="E1123" s="36" t="s">
        <v>760</v>
      </c>
      <c r="F1123" s="36" t="s">
        <v>186</v>
      </c>
      <c r="G1123" s="37">
        <f t="shared" si="291"/>
        <v>2387</v>
      </c>
      <c r="H1123" s="37">
        <f t="shared" si="291"/>
        <v>2483</v>
      </c>
      <c r="I1123" s="37">
        <f t="shared" si="291"/>
        <v>2582.8000000000002</v>
      </c>
    </row>
    <row r="1124" spans="1:9" x14ac:dyDescent="0.2">
      <c r="A1124" s="35" t="s">
        <v>187</v>
      </c>
      <c r="B1124" s="36" t="s">
        <v>742</v>
      </c>
      <c r="C1124" s="36" t="s">
        <v>173</v>
      </c>
      <c r="D1124" s="36" t="s">
        <v>216</v>
      </c>
      <c r="E1124" s="36" t="s">
        <v>760</v>
      </c>
      <c r="F1124" s="36" t="s">
        <v>188</v>
      </c>
      <c r="G1124" s="37">
        <f>2376+11</f>
        <v>2387</v>
      </c>
      <c r="H1124" s="37">
        <f>2471.6+11.4</f>
        <v>2483</v>
      </c>
      <c r="I1124" s="37">
        <f>2570.9+11.9</f>
        <v>2582.8000000000002</v>
      </c>
    </row>
    <row r="1125" spans="1:9" x14ac:dyDescent="0.2">
      <c r="A1125" s="29" t="s">
        <v>762</v>
      </c>
      <c r="B1125" s="30" t="s">
        <v>742</v>
      </c>
      <c r="C1125" s="30" t="s">
        <v>173</v>
      </c>
      <c r="D1125" s="30" t="s">
        <v>216</v>
      </c>
      <c r="E1125" s="30" t="s">
        <v>760</v>
      </c>
      <c r="F1125" s="30"/>
      <c r="G1125" s="31">
        <f>G1126</f>
        <v>12</v>
      </c>
      <c r="H1125" s="31">
        <f t="shared" ref="H1125:I1126" si="292">H1126</f>
        <v>12</v>
      </c>
      <c r="I1125" s="31">
        <f t="shared" si="292"/>
        <v>12</v>
      </c>
    </row>
    <row r="1126" spans="1:9" x14ac:dyDescent="0.2">
      <c r="A1126" s="35" t="s">
        <v>195</v>
      </c>
      <c r="B1126" s="36" t="s">
        <v>742</v>
      </c>
      <c r="C1126" s="36" t="s">
        <v>173</v>
      </c>
      <c r="D1126" s="36" t="s">
        <v>216</v>
      </c>
      <c r="E1126" s="36" t="s">
        <v>760</v>
      </c>
      <c r="F1126" s="36" t="s">
        <v>196</v>
      </c>
      <c r="G1126" s="37">
        <f>G1127</f>
        <v>12</v>
      </c>
      <c r="H1126" s="37">
        <f t="shared" si="292"/>
        <v>12</v>
      </c>
      <c r="I1126" s="37">
        <f t="shared" si="292"/>
        <v>12</v>
      </c>
    </row>
    <row r="1127" spans="1:9" x14ac:dyDescent="0.2">
      <c r="A1127" s="35" t="s">
        <v>197</v>
      </c>
      <c r="B1127" s="36" t="s">
        <v>742</v>
      </c>
      <c r="C1127" s="36" t="s">
        <v>173</v>
      </c>
      <c r="D1127" s="36" t="s">
        <v>216</v>
      </c>
      <c r="E1127" s="36" t="s">
        <v>760</v>
      </c>
      <c r="F1127" s="36" t="s">
        <v>198</v>
      </c>
      <c r="G1127" s="37">
        <v>12</v>
      </c>
      <c r="H1127" s="37">
        <v>12</v>
      </c>
      <c r="I1127" s="37">
        <v>12</v>
      </c>
    </row>
    <row r="1128" spans="1:9" ht="31.5" x14ac:dyDescent="0.2">
      <c r="A1128" s="200" t="s">
        <v>763</v>
      </c>
      <c r="B1128" s="34" t="s">
        <v>764</v>
      </c>
      <c r="C1128" s="34"/>
      <c r="D1128" s="34"/>
      <c r="E1128" s="34"/>
      <c r="F1128" s="219"/>
      <c r="G1128" s="201">
        <f>G1129</f>
        <v>20586.325000000001</v>
      </c>
      <c r="H1128" s="201">
        <f t="shared" ref="H1128:I1131" si="293">H1129</f>
        <v>17508</v>
      </c>
      <c r="I1128" s="201">
        <f t="shared" si="293"/>
        <v>17508</v>
      </c>
    </row>
    <row r="1129" spans="1:9" x14ac:dyDescent="0.2">
      <c r="A1129" s="29" t="s">
        <v>172</v>
      </c>
      <c r="B1129" s="30" t="s">
        <v>764</v>
      </c>
      <c r="C1129" s="30" t="s">
        <v>173</v>
      </c>
      <c r="D1129" s="30" t="s">
        <v>174</v>
      </c>
      <c r="E1129" s="30"/>
      <c r="F1129" s="48"/>
      <c r="G1129" s="31">
        <f>G1130</f>
        <v>20586.325000000001</v>
      </c>
      <c r="H1129" s="31">
        <f t="shared" si="293"/>
        <v>17508</v>
      </c>
      <c r="I1129" s="31">
        <f t="shared" si="293"/>
        <v>17508</v>
      </c>
    </row>
    <row r="1130" spans="1:9" ht="24" x14ac:dyDescent="0.2">
      <c r="A1130" s="29" t="s">
        <v>655</v>
      </c>
      <c r="B1130" s="30" t="s">
        <v>764</v>
      </c>
      <c r="C1130" s="30" t="s">
        <v>173</v>
      </c>
      <c r="D1130" s="30" t="s">
        <v>656</v>
      </c>
      <c r="E1130" s="30"/>
      <c r="F1130" s="30"/>
      <c r="G1130" s="31">
        <f>G1131</f>
        <v>20586.325000000001</v>
      </c>
      <c r="H1130" s="31">
        <f t="shared" si="293"/>
        <v>17508</v>
      </c>
      <c r="I1130" s="31">
        <f t="shared" si="293"/>
        <v>17508</v>
      </c>
    </row>
    <row r="1131" spans="1:9" ht="24" x14ac:dyDescent="0.2">
      <c r="A1131" s="39" t="s">
        <v>765</v>
      </c>
      <c r="B1131" s="40" t="s">
        <v>764</v>
      </c>
      <c r="C1131" s="40" t="s">
        <v>173</v>
      </c>
      <c r="D1131" s="40" t="s">
        <v>656</v>
      </c>
      <c r="E1131" s="40" t="s">
        <v>766</v>
      </c>
      <c r="F1131" s="49"/>
      <c r="G1131" s="41">
        <f>G1132</f>
        <v>20586.325000000001</v>
      </c>
      <c r="H1131" s="41">
        <f t="shared" si="293"/>
        <v>17508</v>
      </c>
      <c r="I1131" s="41">
        <f t="shared" si="293"/>
        <v>17508</v>
      </c>
    </row>
    <row r="1132" spans="1:9" x14ac:dyDescent="0.2">
      <c r="A1132" s="29" t="s">
        <v>180</v>
      </c>
      <c r="B1132" s="30" t="s">
        <v>764</v>
      </c>
      <c r="C1132" s="30" t="s">
        <v>173</v>
      </c>
      <c r="D1132" s="30" t="s">
        <v>656</v>
      </c>
      <c r="E1132" s="30" t="s">
        <v>767</v>
      </c>
      <c r="F1132" s="30"/>
      <c r="G1132" s="31">
        <f>G1133+G1136</f>
        <v>20586.325000000001</v>
      </c>
      <c r="H1132" s="31">
        <f>H1133+H1136</f>
        <v>17508</v>
      </c>
      <c r="I1132" s="31">
        <f>I1133+I1136</f>
        <v>17508</v>
      </c>
    </row>
    <row r="1133" spans="1:9" ht="15.75" customHeight="1" x14ac:dyDescent="0.2">
      <c r="A1133" s="29" t="s">
        <v>768</v>
      </c>
      <c r="B1133" s="30" t="s">
        <v>764</v>
      </c>
      <c r="C1133" s="30" t="s">
        <v>173</v>
      </c>
      <c r="D1133" s="30" t="s">
        <v>656</v>
      </c>
      <c r="E1133" s="30" t="s">
        <v>769</v>
      </c>
      <c r="F1133" s="30"/>
      <c r="G1133" s="31">
        <f>G1134</f>
        <v>18374.525000000001</v>
      </c>
      <c r="H1133" s="31">
        <f t="shared" ref="H1133:I1134" si="294">H1134</f>
        <v>15296.2</v>
      </c>
      <c r="I1133" s="31">
        <f t="shared" si="294"/>
        <v>15296.2</v>
      </c>
    </row>
    <row r="1134" spans="1:9" ht="24" x14ac:dyDescent="0.2">
      <c r="A1134" s="35" t="s">
        <v>185</v>
      </c>
      <c r="B1134" s="36" t="s">
        <v>764</v>
      </c>
      <c r="C1134" s="36" t="s">
        <v>173</v>
      </c>
      <c r="D1134" s="36" t="s">
        <v>656</v>
      </c>
      <c r="E1134" s="36" t="s">
        <v>769</v>
      </c>
      <c r="F1134" s="36" t="s">
        <v>186</v>
      </c>
      <c r="G1134" s="37">
        <f>G1135</f>
        <v>18374.525000000001</v>
      </c>
      <c r="H1134" s="37">
        <f t="shared" si="294"/>
        <v>15296.2</v>
      </c>
      <c r="I1134" s="37">
        <f t="shared" si="294"/>
        <v>15296.2</v>
      </c>
    </row>
    <row r="1135" spans="1:9" x14ac:dyDescent="0.2">
      <c r="A1135" s="35" t="s">
        <v>187</v>
      </c>
      <c r="B1135" s="36" t="s">
        <v>764</v>
      </c>
      <c r="C1135" s="36" t="s">
        <v>173</v>
      </c>
      <c r="D1135" s="36" t="s">
        <v>656</v>
      </c>
      <c r="E1135" s="36" t="s">
        <v>769</v>
      </c>
      <c r="F1135" s="36" t="s">
        <v>188</v>
      </c>
      <c r="G1135" s="37">
        <f>15296.2+3078.325</f>
        <v>18374.525000000001</v>
      </c>
      <c r="H1135" s="37">
        <v>15296.2</v>
      </c>
      <c r="I1135" s="37">
        <v>15296.2</v>
      </c>
    </row>
    <row r="1136" spans="1:9" ht="13.5" customHeight="1" x14ac:dyDescent="0.2">
      <c r="A1136" s="29" t="s">
        <v>770</v>
      </c>
      <c r="B1136" s="30" t="s">
        <v>764</v>
      </c>
      <c r="C1136" s="30" t="s">
        <v>173</v>
      </c>
      <c r="D1136" s="30" t="s">
        <v>656</v>
      </c>
      <c r="E1136" s="30" t="s">
        <v>771</v>
      </c>
      <c r="F1136" s="30"/>
      <c r="G1136" s="31">
        <f>G1137+G1139</f>
        <v>2211.8000000000002</v>
      </c>
      <c r="H1136" s="31">
        <f>H1137+H1139</f>
        <v>2211.8000000000002</v>
      </c>
      <c r="I1136" s="31">
        <f>I1137+I1139</f>
        <v>2211.8000000000002</v>
      </c>
    </row>
    <row r="1137" spans="1:9" x14ac:dyDescent="0.2">
      <c r="A1137" s="35" t="s">
        <v>195</v>
      </c>
      <c r="B1137" s="36" t="s">
        <v>764</v>
      </c>
      <c r="C1137" s="36" t="s">
        <v>173</v>
      </c>
      <c r="D1137" s="36" t="s">
        <v>656</v>
      </c>
      <c r="E1137" s="36" t="s">
        <v>771</v>
      </c>
      <c r="F1137" s="36" t="s">
        <v>196</v>
      </c>
      <c r="G1137" s="37">
        <f>G1138</f>
        <v>2173.3000000000002</v>
      </c>
      <c r="H1137" s="37">
        <f t="shared" ref="H1137:I1137" si="295">H1138</f>
        <v>2173.3000000000002</v>
      </c>
      <c r="I1137" s="37">
        <f t="shared" si="295"/>
        <v>2173.3000000000002</v>
      </c>
    </row>
    <row r="1138" spans="1:9" x14ac:dyDescent="0.2">
      <c r="A1138" s="35" t="s">
        <v>197</v>
      </c>
      <c r="B1138" s="36" t="s">
        <v>764</v>
      </c>
      <c r="C1138" s="36" t="s">
        <v>173</v>
      </c>
      <c r="D1138" s="36" t="s">
        <v>656</v>
      </c>
      <c r="E1138" s="36" t="s">
        <v>771</v>
      </c>
      <c r="F1138" s="36" t="s">
        <v>198</v>
      </c>
      <c r="G1138" s="37">
        <v>2173.3000000000002</v>
      </c>
      <c r="H1138" s="37">
        <v>2173.3000000000002</v>
      </c>
      <c r="I1138" s="37">
        <v>2173.3000000000002</v>
      </c>
    </row>
    <row r="1139" spans="1:9" x14ac:dyDescent="0.2">
      <c r="A1139" s="35" t="s">
        <v>199</v>
      </c>
      <c r="B1139" s="36" t="s">
        <v>764</v>
      </c>
      <c r="C1139" s="36" t="s">
        <v>173</v>
      </c>
      <c r="D1139" s="36" t="s">
        <v>656</v>
      </c>
      <c r="E1139" s="36" t="s">
        <v>771</v>
      </c>
      <c r="F1139" s="36" t="s">
        <v>200</v>
      </c>
      <c r="G1139" s="37">
        <f>G1140</f>
        <v>38.5</v>
      </c>
      <c r="H1139" s="37">
        <f t="shared" ref="H1139:I1139" si="296">H1140</f>
        <v>38.5</v>
      </c>
      <c r="I1139" s="37">
        <f t="shared" si="296"/>
        <v>38.5</v>
      </c>
    </row>
    <row r="1140" spans="1:9" x14ac:dyDescent="0.2">
      <c r="A1140" s="35" t="s">
        <v>201</v>
      </c>
      <c r="B1140" s="36" t="s">
        <v>764</v>
      </c>
      <c r="C1140" s="36" t="s">
        <v>173</v>
      </c>
      <c r="D1140" s="36" t="s">
        <v>656</v>
      </c>
      <c r="E1140" s="36" t="s">
        <v>771</v>
      </c>
      <c r="F1140" s="36" t="s">
        <v>202</v>
      </c>
      <c r="G1140" s="37">
        <v>38.5</v>
      </c>
      <c r="H1140" s="37">
        <v>38.5</v>
      </c>
      <c r="I1140" s="37">
        <v>38.5</v>
      </c>
    </row>
    <row r="1141" spans="1:9" x14ac:dyDescent="0.2">
      <c r="A1141" s="256" t="s">
        <v>772</v>
      </c>
      <c r="B1141" s="257"/>
      <c r="C1141" s="257"/>
      <c r="D1141" s="257"/>
      <c r="E1141" s="257"/>
      <c r="F1141" s="258"/>
      <c r="G1141" s="137">
        <v>0</v>
      </c>
      <c r="H1141" s="72">
        <v>90918.9</v>
      </c>
      <c r="I1141" s="72">
        <v>182126.6</v>
      </c>
    </row>
  </sheetData>
  <mergeCells count="25">
    <mergeCell ref="A12:I12"/>
    <mergeCell ref="A13:I13"/>
    <mergeCell ref="A15:I15"/>
    <mergeCell ref="G18:G19"/>
    <mergeCell ref="H18:H19"/>
    <mergeCell ref="A6:I6"/>
    <mergeCell ref="A7:I7"/>
    <mergeCell ref="A9:I9"/>
    <mergeCell ref="A10:I10"/>
    <mergeCell ref="A11:I11"/>
    <mergeCell ref="A1:I1"/>
    <mergeCell ref="A2:I2"/>
    <mergeCell ref="A3:I3"/>
    <mergeCell ref="A4:I4"/>
    <mergeCell ref="A5:I5"/>
    <mergeCell ref="A1141:F1141"/>
    <mergeCell ref="F18:F19"/>
    <mergeCell ref="A17:I17"/>
    <mergeCell ref="I18:I19"/>
    <mergeCell ref="A14:F14"/>
    <mergeCell ref="A18:A19"/>
    <mergeCell ref="B18:B19"/>
    <mergeCell ref="C18:C19"/>
    <mergeCell ref="D18:D19"/>
    <mergeCell ref="E18:E19"/>
  </mergeCells>
  <phoneticPr fontId="2" type="noConversion"/>
  <pageMargins left="0.47244094488188981" right="0.39370078740157483" top="0.39370078740157483" bottom="0.39370078740157483" header="0" footer="0"/>
  <pageSetup paperSize="9" scale="78" fitToHeight="0" orientation="landscape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2"/>
  </sheetPr>
  <dimension ref="A1:H879"/>
  <sheetViews>
    <sheetView view="pageBreakPreview" topLeftCell="A19" zoomScaleNormal="110" zoomScaleSheetLayoutView="100" workbookViewId="0">
      <selection activeCell="A3" sqref="A3:H3"/>
    </sheetView>
  </sheetViews>
  <sheetFormatPr defaultColWidth="9.140625" defaultRowHeight="12.75" x14ac:dyDescent="0.2"/>
  <cols>
    <col min="1" max="1" width="88.42578125" style="15" customWidth="1"/>
    <col min="2" max="3" width="7.5703125" style="4" customWidth="1"/>
    <col min="4" max="4" width="13.42578125" style="4" customWidth="1"/>
    <col min="5" max="5" width="9.42578125" style="4" customWidth="1"/>
    <col min="6" max="8" width="14.5703125" style="144" customWidth="1"/>
    <col min="9" max="16384" width="9.140625" style="144"/>
  </cols>
  <sheetData>
    <row r="1" spans="1:8" ht="15" x14ac:dyDescent="0.25">
      <c r="A1" s="255" t="s">
        <v>19</v>
      </c>
      <c r="B1" s="255"/>
      <c r="C1" s="255"/>
      <c r="D1" s="255"/>
      <c r="E1" s="255"/>
      <c r="F1" s="255"/>
      <c r="G1" s="255"/>
      <c r="H1" s="255"/>
    </row>
    <row r="2" spans="1:8" ht="13.9" customHeight="1" x14ac:dyDescent="0.25">
      <c r="A2" s="255" t="s">
        <v>41</v>
      </c>
      <c r="B2" s="255"/>
      <c r="C2" s="255"/>
      <c r="D2" s="255"/>
      <c r="E2" s="255"/>
      <c r="F2" s="255"/>
      <c r="G2" s="255"/>
      <c r="H2" s="255"/>
    </row>
    <row r="3" spans="1:8" ht="15" x14ac:dyDescent="0.25">
      <c r="A3" s="255" t="s">
        <v>884</v>
      </c>
      <c r="B3" s="255"/>
      <c r="C3" s="255"/>
      <c r="D3" s="255"/>
      <c r="E3" s="255"/>
      <c r="F3" s="255"/>
      <c r="G3" s="255"/>
      <c r="H3" s="255"/>
    </row>
    <row r="4" spans="1:8" ht="15" x14ac:dyDescent="0.25">
      <c r="A4" s="255" t="s">
        <v>20</v>
      </c>
      <c r="B4" s="255"/>
      <c r="C4" s="255"/>
      <c r="D4" s="255"/>
      <c r="E4" s="255"/>
      <c r="F4" s="255"/>
      <c r="G4" s="255"/>
      <c r="H4" s="255"/>
    </row>
    <row r="5" spans="1:8" ht="15" x14ac:dyDescent="0.25">
      <c r="A5" s="255" t="s">
        <v>21</v>
      </c>
      <c r="B5" s="255"/>
      <c r="C5" s="255"/>
      <c r="D5" s="255"/>
      <c r="E5" s="255"/>
      <c r="F5" s="255"/>
      <c r="G5" s="255"/>
      <c r="H5" s="255"/>
    </row>
    <row r="6" spans="1:8" ht="15" x14ac:dyDescent="0.25">
      <c r="A6" s="255" t="s">
        <v>28</v>
      </c>
      <c r="B6" s="255"/>
      <c r="C6" s="255"/>
      <c r="D6" s="255"/>
      <c r="E6" s="255"/>
      <c r="F6" s="255"/>
      <c r="G6" s="255"/>
      <c r="H6" s="255"/>
    </row>
    <row r="7" spans="1:8" ht="15" x14ac:dyDescent="0.25">
      <c r="A7" s="255" t="s">
        <v>26</v>
      </c>
      <c r="B7" s="255"/>
      <c r="C7" s="255"/>
      <c r="D7" s="255"/>
      <c r="E7" s="255"/>
      <c r="F7" s="255"/>
      <c r="G7" s="255"/>
      <c r="H7" s="255"/>
    </row>
    <row r="8" spans="1:8" x14ac:dyDescent="0.2">
      <c r="A8" s="162"/>
      <c r="B8" s="159"/>
      <c r="C8" s="159"/>
      <c r="D8" s="159"/>
      <c r="E8" s="159"/>
      <c r="F8" s="159"/>
      <c r="G8" s="187"/>
      <c r="H8" s="187"/>
    </row>
    <row r="9" spans="1:8" ht="15" x14ac:dyDescent="0.25">
      <c r="A9" s="253" t="s">
        <v>30</v>
      </c>
      <c r="B9" s="253"/>
      <c r="C9" s="253"/>
      <c r="D9" s="253"/>
      <c r="E9" s="253"/>
      <c r="F9" s="253"/>
      <c r="G9" s="253"/>
      <c r="H9" s="253"/>
    </row>
    <row r="10" spans="1:8" ht="15" x14ac:dyDescent="0.25">
      <c r="A10" s="253" t="s">
        <v>22</v>
      </c>
      <c r="B10" s="253"/>
      <c r="C10" s="253"/>
      <c r="D10" s="253"/>
      <c r="E10" s="253"/>
      <c r="F10" s="253"/>
      <c r="G10" s="253"/>
      <c r="H10" s="253"/>
    </row>
    <row r="11" spans="1:8" ht="15" x14ac:dyDescent="0.25">
      <c r="A11" s="253" t="s">
        <v>27</v>
      </c>
      <c r="B11" s="253"/>
      <c r="C11" s="253"/>
      <c r="D11" s="253"/>
      <c r="E11" s="253"/>
      <c r="F11" s="253"/>
      <c r="G11" s="253"/>
      <c r="H11" s="253"/>
    </row>
    <row r="12" spans="1:8" ht="15" x14ac:dyDescent="0.25">
      <c r="A12" s="253" t="s">
        <v>23</v>
      </c>
      <c r="B12" s="253"/>
      <c r="C12" s="253"/>
      <c r="D12" s="253"/>
      <c r="E12" s="253"/>
      <c r="F12" s="253"/>
      <c r="G12" s="253"/>
      <c r="H12" s="253"/>
    </row>
    <row r="13" spans="1:8" ht="15" x14ac:dyDescent="0.25">
      <c r="A13" s="253" t="s">
        <v>24</v>
      </c>
      <c r="B13" s="253"/>
      <c r="C13" s="253"/>
      <c r="D13" s="253"/>
      <c r="E13" s="253"/>
      <c r="F13" s="253"/>
      <c r="G13" s="253"/>
      <c r="H13" s="253"/>
    </row>
    <row r="15" spans="1:8" ht="60.75" customHeight="1" x14ac:dyDescent="0.2">
      <c r="A15" s="272" t="s">
        <v>17</v>
      </c>
      <c r="B15" s="272"/>
      <c r="C15" s="272"/>
      <c r="D15" s="272"/>
      <c r="E15" s="272"/>
      <c r="F15" s="272"/>
      <c r="G15" s="272"/>
      <c r="H15" s="272"/>
    </row>
    <row r="16" spans="1:8" ht="8.25" customHeight="1" x14ac:dyDescent="0.2">
      <c r="A16" s="157"/>
      <c r="B16" s="157"/>
      <c r="C16" s="157"/>
      <c r="D16" s="157"/>
      <c r="E16" s="157"/>
    </row>
    <row r="17" spans="1:8" x14ac:dyDescent="0.2">
      <c r="A17" s="269" t="s">
        <v>12</v>
      </c>
      <c r="B17" s="269"/>
      <c r="C17" s="269"/>
      <c r="D17" s="269"/>
      <c r="E17" s="269"/>
      <c r="F17" s="269"/>
      <c r="G17" s="269"/>
      <c r="H17" s="269"/>
    </row>
    <row r="18" spans="1:8" ht="32.25" customHeight="1" x14ac:dyDescent="0.2">
      <c r="A18" s="270" t="s">
        <v>2</v>
      </c>
      <c r="B18" s="270" t="s">
        <v>1</v>
      </c>
      <c r="C18" s="270" t="s">
        <v>0</v>
      </c>
      <c r="D18" s="270" t="s">
        <v>3</v>
      </c>
      <c r="E18" s="270" t="s">
        <v>6</v>
      </c>
      <c r="F18" s="262" t="s">
        <v>31</v>
      </c>
      <c r="G18" s="262" t="s">
        <v>32</v>
      </c>
      <c r="H18" s="262" t="s">
        <v>33</v>
      </c>
    </row>
    <row r="19" spans="1:8" ht="15" customHeight="1" x14ac:dyDescent="0.2">
      <c r="A19" s="271"/>
      <c r="B19" s="271"/>
      <c r="C19" s="271"/>
      <c r="D19" s="271"/>
      <c r="E19" s="271"/>
      <c r="F19" s="263"/>
      <c r="G19" s="263"/>
      <c r="H19" s="263"/>
    </row>
    <row r="20" spans="1:8" s="192" customFormat="1" ht="15.75" x14ac:dyDescent="0.2">
      <c r="A20" s="188" t="s">
        <v>170</v>
      </c>
      <c r="B20" s="158"/>
      <c r="C20" s="158"/>
      <c r="D20" s="158"/>
      <c r="E20" s="158"/>
      <c r="F20" s="156">
        <f>F21+F194+F209+F380+F563+F698+F791+F838+F867+F873+F879</f>
        <v>8085778.2207099991</v>
      </c>
      <c r="G20" s="156">
        <f>G21+G194+G209+G380+G563+G698+G791+G838+G867+G873+G879</f>
        <v>7109594.8770000013</v>
      </c>
      <c r="H20" s="156">
        <f>H21+H194+H209+H380+H563+H698+H791+H838+H867+H873+H879</f>
        <v>6457399.3951000003</v>
      </c>
    </row>
    <row r="21" spans="1:8" s="195" customFormat="1" ht="12" x14ac:dyDescent="0.2">
      <c r="A21" s="29" t="s">
        <v>172</v>
      </c>
      <c r="B21" s="30" t="s">
        <v>173</v>
      </c>
      <c r="C21" s="30" t="s">
        <v>174</v>
      </c>
      <c r="D21" s="30"/>
      <c r="E21" s="30"/>
      <c r="F21" s="31">
        <f>F22+F29+F40+F60+F66+F91+F97</f>
        <v>572217.22191999992</v>
      </c>
      <c r="G21" s="31">
        <f>G22+G29+G40+G60+G66+G91+G97</f>
        <v>477550</v>
      </c>
      <c r="H21" s="31">
        <f>H22+H29+H40+H60+H66+H91+H97</f>
        <v>487643.89999999997</v>
      </c>
    </row>
    <row r="22" spans="1:8" s="195" customFormat="1" ht="24" x14ac:dyDescent="0.2">
      <c r="A22" s="29" t="s">
        <v>743</v>
      </c>
      <c r="B22" s="30" t="s">
        <v>173</v>
      </c>
      <c r="C22" s="30" t="s">
        <v>352</v>
      </c>
      <c r="D22" s="30"/>
      <c r="E22" s="30"/>
      <c r="F22" s="31">
        <f>F23</f>
        <v>3518.2980000000002</v>
      </c>
      <c r="G22" s="31">
        <f t="shared" ref="G22:H22" si="0">G23</f>
        <v>2645.4</v>
      </c>
      <c r="H22" s="31">
        <f t="shared" si="0"/>
        <v>2645.4</v>
      </c>
    </row>
    <row r="23" spans="1:8" s="195" customFormat="1" ht="12" x14ac:dyDescent="0.2">
      <c r="A23" s="39" t="s">
        <v>744</v>
      </c>
      <c r="B23" s="40" t="s">
        <v>173</v>
      </c>
      <c r="C23" s="40" t="s">
        <v>352</v>
      </c>
      <c r="D23" s="40" t="s">
        <v>745</v>
      </c>
      <c r="E23" s="40"/>
      <c r="F23" s="41">
        <f t="shared" ref="F23:H27" si="1">F24</f>
        <v>3518.2980000000002</v>
      </c>
      <c r="G23" s="41">
        <f t="shared" si="1"/>
        <v>2645.4</v>
      </c>
      <c r="H23" s="41">
        <f t="shared" si="1"/>
        <v>2645.4</v>
      </c>
    </row>
    <row r="24" spans="1:8" s="195" customFormat="1" ht="12" x14ac:dyDescent="0.2">
      <c r="A24" s="29" t="s">
        <v>353</v>
      </c>
      <c r="B24" s="30" t="s">
        <v>173</v>
      </c>
      <c r="C24" s="30" t="s">
        <v>352</v>
      </c>
      <c r="D24" s="30" t="s">
        <v>746</v>
      </c>
      <c r="E24" s="30"/>
      <c r="F24" s="31">
        <f t="shared" si="1"/>
        <v>3518.2980000000002</v>
      </c>
      <c r="G24" s="31">
        <f t="shared" si="1"/>
        <v>2645.4</v>
      </c>
      <c r="H24" s="31">
        <f t="shared" si="1"/>
        <v>2645.4</v>
      </c>
    </row>
    <row r="25" spans="1:8" s="195" customFormat="1" ht="12" x14ac:dyDescent="0.2">
      <c r="A25" s="52" t="s">
        <v>747</v>
      </c>
      <c r="B25" s="49" t="s">
        <v>173</v>
      </c>
      <c r="C25" s="49" t="s">
        <v>352</v>
      </c>
      <c r="D25" s="49" t="s">
        <v>748</v>
      </c>
      <c r="E25" s="36"/>
      <c r="F25" s="53">
        <f t="shared" si="1"/>
        <v>3518.2980000000002</v>
      </c>
      <c r="G25" s="53">
        <f t="shared" si="1"/>
        <v>2645.4</v>
      </c>
      <c r="H25" s="53">
        <f t="shared" si="1"/>
        <v>2645.4</v>
      </c>
    </row>
    <row r="26" spans="1:8" s="195" customFormat="1" ht="12" x14ac:dyDescent="0.2">
      <c r="A26" s="216" t="s">
        <v>749</v>
      </c>
      <c r="B26" s="67" t="s">
        <v>173</v>
      </c>
      <c r="C26" s="67" t="s">
        <v>352</v>
      </c>
      <c r="D26" s="67" t="s">
        <v>750</v>
      </c>
      <c r="E26" s="217"/>
      <c r="F26" s="31">
        <f t="shared" si="1"/>
        <v>3518.2980000000002</v>
      </c>
      <c r="G26" s="31">
        <f t="shared" si="1"/>
        <v>2645.4</v>
      </c>
      <c r="H26" s="31">
        <f t="shared" si="1"/>
        <v>2645.4</v>
      </c>
    </row>
    <row r="27" spans="1:8" s="195" customFormat="1" ht="24" x14ac:dyDescent="0.2">
      <c r="A27" s="35" t="s">
        <v>185</v>
      </c>
      <c r="B27" s="36" t="s">
        <v>173</v>
      </c>
      <c r="C27" s="36" t="s">
        <v>352</v>
      </c>
      <c r="D27" s="36" t="s">
        <v>751</v>
      </c>
      <c r="E27" s="36" t="s">
        <v>186</v>
      </c>
      <c r="F27" s="37">
        <f t="shared" si="1"/>
        <v>3518.2980000000002</v>
      </c>
      <c r="G27" s="37">
        <f t="shared" si="1"/>
        <v>2645.4</v>
      </c>
      <c r="H27" s="37">
        <f t="shared" si="1"/>
        <v>2645.4</v>
      </c>
    </row>
    <row r="28" spans="1:8" s="195" customFormat="1" ht="12" x14ac:dyDescent="0.2">
      <c r="A28" s="35" t="s">
        <v>187</v>
      </c>
      <c r="B28" s="36" t="s">
        <v>173</v>
      </c>
      <c r="C28" s="36" t="s">
        <v>352</v>
      </c>
      <c r="D28" s="36" t="s">
        <v>751</v>
      </c>
      <c r="E28" s="36" t="s">
        <v>188</v>
      </c>
      <c r="F28" s="37">
        <f>2645.4+105.898+454+313</f>
        <v>3518.2980000000002</v>
      </c>
      <c r="G28" s="37">
        <v>2645.4</v>
      </c>
      <c r="H28" s="37">
        <v>2645.4</v>
      </c>
    </row>
    <row r="29" spans="1:8" s="195" customFormat="1" ht="24" x14ac:dyDescent="0.2">
      <c r="A29" s="29" t="s">
        <v>752</v>
      </c>
      <c r="B29" s="30" t="s">
        <v>173</v>
      </c>
      <c r="C29" s="30" t="s">
        <v>283</v>
      </c>
      <c r="D29" s="30"/>
      <c r="E29" s="30"/>
      <c r="F29" s="31">
        <f t="shared" ref="F29:H30" si="2">F30</f>
        <v>42264.850999999995</v>
      </c>
      <c r="G29" s="31">
        <f t="shared" si="2"/>
        <v>38484</v>
      </c>
      <c r="H29" s="31">
        <f t="shared" si="2"/>
        <v>38484</v>
      </c>
    </row>
    <row r="30" spans="1:8" s="195" customFormat="1" ht="12" x14ac:dyDescent="0.2">
      <c r="A30" s="39" t="s">
        <v>753</v>
      </c>
      <c r="B30" s="40" t="s">
        <v>173</v>
      </c>
      <c r="C30" s="40" t="s">
        <v>283</v>
      </c>
      <c r="D30" s="56" t="s">
        <v>754</v>
      </c>
      <c r="E30" s="56"/>
      <c r="F30" s="41">
        <f>F31</f>
        <v>42264.850999999995</v>
      </c>
      <c r="G30" s="41">
        <f t="shared" si="2"/>
        <v>38484</v>
      </c>
      <c r="H30" s="41">
        <f t="shared" si="2"/>
        <v>38484</v>
      </c>
    </row>
    <row r="31" spans="1:8" s="195" customFormat="1" ht="12" x14ac:dyDescent="0.2">
      <c r="A31" s="29" t="s">
        <v>353</v>
      </c>
      <c r="B31" s="30" t="s">
        <v>173</v>
      </c>
      <c r="C31" s="30" t="s">
        <v>283</v>
      </c>
      <c r="D31" s="218" t="s">
        <v>755</v>
      </c>
      <c r="E31" s="55"/>
      <c r="F31" s="31">
        <f>F32+F35</f>
        <v>42264.850999999995</v>
      </c>
      <c r="G31" s="31">
        <f>G32+G35</f>
        <v>38484</v>
      </c>
      <c r="H31" s="31">
        <f>H32+H35</f>
        <v>38484</v>
      </c>
    </row>
    <row r="32" spans="1:8" s="195" customFormat="1" ht="12" x14ac:dyDescent="0.2">
      <c r="A32" s="216" t="s">
        <v>749</v>
      </c>
      <c r="B32" s="67" t="s">
        <v>173</v>
      </c>
      <c r="C32" s="67" t="s">
        <v>283</v>
      </c>
      <c r="D32" s="67" t="s">
        <v>756</v>
      </c>
      <c r="E32" s="217"/>
      <c r="F32" s="31">
        <f t="shared" ref="F32:H33" si="3">F33</f>
        <v>36879.850999999995</v>
      </c>
      <c r="G32" s="31">
        <f t="shared" si="3"/>
        <v>33099</v>
      </c>
      <c r="H32" s="31">
        <f t="shared" si="3"/>
        <v>33099</v>
      </c>
    </row>
    <row r="33" spans="1:8" s="195" customFormat="1" ht="24" x14ac:dyDescent="0.2">
      <c r="A33" s="35" t="s">
        <v>185</v>
      </c>
      <c r="B33" s="36" t="s">
        <v>173</v>
      </c>
      <c r="C33" s="36" t="s">
        <v>283</v>
      </c>
      <c r="D33" s="36" t="s">
        <v>756</v>
      </c>
      <c r="E33" s="36" t="s">
        <v>186</v>
      </c>
      <c r="F33" s="37">
        <f t="shared" si="3"/>
        <v>36879.850999999995</v>
      </c>
      <c r="G33" s="37">
        <f t="shared" si="3"/>
        <v>33099</v>
      </c>
      <c r="H33" s="37">
        <f t="shared" si="3"/>
        <v>33099</v>
      </c>
    </row>
    <row r="34" spans="1:8" s="195" customFormat="1" ht="12" x14ac:dyDescent="0.2">
      <c r="A34" s="35" t="s">
        <v>187</v>
      </c>
      <c r="B34" s="36" t="s">
        <v>173</v>
      </c>
      <c r="C34" s="36" t="s">
        <v>283</v>
      </c>
      <c r="D34" s="36" t="s">
        <v>756</v>
      </c>
      <c r="E34" s="36" t="s">
        <v>188</v>
      </c>
      <c r="F34" s="37">
        <f>33099+2959.749-105.898+486+441</f>
        <v>36879.850999999995</v>
      </c>
      <c r="G34" s="37">
        <v>33099</v>
      </c>
      <c r="H34" s="37">
        <v>33099</v>
      </c>
    </row>
    <row r="35" spans="1:8" s="195" customFormat="1" ht="12" x14ac:dyDescent="0.2">
      <c r="A35" s="29" t="s">
        <v>757</v>
      </c>
      <c r="B35" s="30" t="s">
        <v>173</v>
      </c>
      <c r="C35" s="30" t="s">
        <v>283</v>
      </c>
      <c r="D35" s="30" t="s">
        <v>758</v>
      </c>
      <c r="E35" s="36"/>
      <c r="F35" s="31">
        <f>F36+F38</f>
        <v>5385</v>
      </c>
      <c r="G35" s="31">
        <f>G36+G38</f>
        <v>5385</v>
      </c>
      <c r="H35" s="31">
        <f>H36+H38</f>
        <v>5385</v>
      </c>
    </row>
    <row r="36" spans="1:8" s="195" customFormat="1" ht="12" x14ac:dyDescent="0.2">
      <c r="A36" s="35" t="s">
        <v>195</v>
      </c>
      <c r="B36" s="36" t="s">
        <v>173</v>
      </c>
      <c r="C36" s="36" t="s">
        <v>283</v>
      </c>
      <c r="D36" s="36" t="s">
        <v>758</v>
      </c>
      <c r="E36" s="36" t="s">
        <v>196</v>
      </c>
      <c r="F36" s="37">
        <f>F37</f>
        <v>5365</v>
      </c>
      <c r="G36" s="37">
        <f>G37</f>
        <v>5365</v>
      </c>
      <c r="H36" s="37">
        <f>H37</f>
        <v>5365</v>
      </c>
    </row>
    <row r="37" spans="1:8" s="195" customFormat="1" ht="12" x14ac:dyDescent="0.2">
      <c r="A37" s="35" t="s">
        <v>197</v>
      </c>
      <c r="B37" s="36" t="s">
        <v>173</v>
      </c>
      <c r="C37" s="36" t="s">
        <v>283</v>
      </c>
      <c r="D37" s="36" t="s">
        <v>758</v>
      </c>
      <c r="E37" s="36" t="s">
        <v>198</v>
      </c>
      <c r="F37" s="37">
        <v>5365</v>
      </c>
      <c r="G37" s="37">
        <v>5365</v>
      </c>
      <c r="H37" s="37">
        <v>5365</v>
      </c>
    </row>
    <row r="38" spans="1:8" s="195" customFormat="1" ht="12" x14ac:dyDescent="0.2">
      <c r="A38" s="35" t="s">
        <v>199</v>
      </c>
      <c r="B38" s="36" t="s">
        <v>173</v>
      </c>
      <c r="C38" s="36" t="s">
        <v>283</v>
      </c>
      <c r="D38" s="36" t="s">
        <v>758</v>
      </c>
      <c r="E38" s="36" t="s">
        <v>200</v>
      </c>
      <c r="F38" s="37">
        <f>F39</f>
        <v>20</v>
      </c>
      <c r="G38" s="37">
        <f>G39</f>
        <v>20</v>
      </c>
      <c r="H38" s="37">
        <f>H39</f>
        <v>20</v>
      </c>
    </row>
    <row r="39" spans="1:8" s="195" customFormat="1" ht="12" x14ac:dyDescent="0.2">
      <c r="A39" s="35" t="s">
        <v>201</v>
      </c>
      <c r="B39" s="36" t="s">
        <v>173</v>
      </c>
      <c r="C39" s="36" t="s">
        <v>283</v>
      </c>
      <c r="D39" s="36" t="s">
        <v>758</v>
      </c>
      <c r="E39" s="36" t="s">
        <v>202</v>
      </c>
      <c r="F39" s="37">
        <v>20</v>
      </c>
      <c r="G39" s="37">
        <v>20</v>
      </c>
      <c r="H39" s="37">
        <v>20</v>
      </c>
    </row>
    <row r="40" spans="1:8" s="195" customFormat="1" ht="24" x14ac:dyDescent="0.2">
      <c r="A40" s="29" t="s">
        <v>175</v>
      </c>
      <c r="B40" s="30" t="s">
        <v>173</v>
      </c>
      <c r="C40" s="30" t="s">
        <v>177</v>
      </c>
      <c r="D40" s="30"/>
      <c r="E40" s="30"/>
      <c r="F40" s="31">
        <f>F41+F47</f>
        <v>272456.83343</v>
      </c>
      <c r="G40" s="31">
        <f>G41+G47</f>
        <v>208496.2</v>
      </c>
      <c r="H40" s="31">
        <f>H41+H47</f>
        <v>206369.6</v>
      </c>
    </row>
    <row r="41" spans="1:8" s="195" customFormat="1" ht="12" x14ac:dyDescent="0.2">
      <c r="A41" s="39" t="s">
        <v>178</v>
      </c>
      <c r="B41" s="40" t="s">
        <v>173</v>
      </c>
      <c r="C41" s="40" t="s">
        <v>177</v>
      </c>
      <c r="D41" s="40" t="s">
        <v>179</v>
      </c>
      <c r="E41" s="40"/>
      <c r="F41" s="41">
        <f t="shared" ref="F41:H45" si="4">F42</f>
        <v>2333.6</v>
      </c>
      <c r="G41" s="41">
        <f t="shared" si="4"/>
        <v>2333.6</v>
      </c>
      <c r="H41" s="41">
        <f t="shared" si="4"/>
        <v>2333.6</v>
      </c>
    </row>
    <row r="42" spans="1:8" s="195" customFormat="1" ht="12" x14ac:dyDescent="0.2">
      <c r="A42" s="29" t="s">
        <v>180</v>
      </c>
      <c r="B42" s="30" t="s">
        <v>173</v>
      </c>
      <c r="C42" s="30" t="s">
        <v>177</v>
      </c>
      <c r="D42" s="30" t="s">
        <v>181</v>
      </c>
      <c r="E42" s="30"/>
      <c r="F42" s="31">
        <f t="shared" si="4"/>
        <v>2333.6</v>
      </c>
      <c r="G42" s="31">
        <f t="shared" si="4"/>
        <v>2333.6</v>
      </c>
      <c r="H42" s="31">
        <f t="shared" si="4"/>
        <v>2333.6</v>
      </c>
    </row>
    <row r="43" spans="1:8" s="195" customFormat="1" ht="12" x14ac:dyDescent="0.2">
      <c r="A43" s="39" t="s">
        <v>182</v>
      </c>
      <c r="B43" s="40" t="s">
        <v>173</v>
      </c>
      <c r="C43" s="40" t="s">
        <v>177</v>
      </c>
      <c r="D43" s="40" t="s">
        <v>181</v>
      </c>
      <c r="E43" s="49"/>
      <c r="F43" s="41">
        <f t="shared" si="4"/>
        <v>2333.6</v>
      </c>
      <c r="G43" s="41">
        <f t="shared" si="4"/>
        <v>2333.6</v>
      </c>
      <c r="H43" s="41">
        <f t="shared" si="4"/>
        <v>2333.6</v>
      </c>
    </row>
    <row r="44" spans="1:8" s="195" customFormat="1" ht="12" x14ac:dyDescent="0.2">
      <c r="A44" s="29" t="s">
        <v>183</v>
      </c>
      <c r="B44" s="30" t="s">
        <v>173</v>
      </c>
      <c r="C44" s="30" t="s">
        <v>177</v>
      </c>
      <c r="D44" s="30" t="s">
        <v>184</v>
      </c>
      <c r="E44" s="30"/>
      <c r="F44" s="31">
        <f t="shared" si="4"/>
        <v>2333.6</v>
      </c>
      <c r="G44" s="31">
        <f t="shared" si="4"/>
        <v>2333.6</v>
      </c>
      <c r="H44" s="31">
        <f t="shared" si="4"/>
        <v>2333.6</v>
      </c>
    </row>
    <row r="45" spans="1:8" s="195" customFormat="1" ht="24" x14ac:dyDescent="0.2">
      <c r="A45" s="35" t="s">
        <v>185</v>
      </c>
      <c r="B45" s="36" t="s">
        <v>173</v>
      </c>
      <c r="C45" s="36" t="s">
        <v>177</v>
      </c>
      <c r="D45" s="36" t="s">
        <v>184</v>
      </c>
      <c r="E45" s="36" t="s">
        <v>186</v>
      </c>
      <c r="F45" s="37">
        <f t="shared" si="4"/>
        <v>2333.6</v>
      </c>
      <c r="G45" s="37">
        <f t="shared" si="4"/>
        <v>2333.6</v>
      </c>
      <c r="H45" s="37">
        <f t="shared" si="4"/>
        <v>2333.6</v>
      </c>
    </row>
    <row r="46" spans="1:8" s="195" customFormat="1" ht="12" x14ac:dyDescent="0.2">
      <c r="A46" s="35" t="s">
        <v>187</v>
      </c>
      <c r="B46" s="36" t="s">
        <v>173</v>
      </c>
      <c r="C46" s="36" t="s">
        <v>177</v>
      </c>
      <c r="D46" s="36" t="s">
        <v>184</v>
      </c>
      <c r="E46" s="36" t="s">
        <v>188</v>
      </c>
      <c r="F46" s="37">
        <v>2333.6</v>
      </c>
      <c r="G46" s="37">
        <v>2333.6</v>
      </c>
      <c r="H46" s="37">
        <v>2333.6</v>
      </c>
    </row>
    <row r="47" spans="1:8" s="195" customFormat="1" ht="12" x14ac:dyDescent="0.2">
      <c r="A47" s="39" t="s">
        <v>178</v>
      </c>
      <c r="B47" s="40" t="s">
        <v>173</v>
      </c>
      <c r="C47" s="40" t="s">
        <v>177</v>
      </c>
      <c r="D47" s="40" t="s">
        <v>189</v>
      </c>
      <c r="E47" s="40"/>
      <c r="F47" s="41">
        <f>F48</f>
        <v>270123.23343000002</v>
      </c>
      <c r="G47" s="41">
        <f t="shared" ref="G47:H47" si="5">G48</f>
        <v>206162.6</v>
      </c>
      <c r="H47" s="41">
        <f t="shared" si="5"/>
        <v>204036</v>
      </c>
    </row>
    <row r="48" spans="1:8" s="195" customFormat="1" ht="12" x14ac:dyDescent="0.2">
      <c r="A48" s="29" t="s">
        <v>180</v>
      </c>
      <c r="B48" s="30" t="s">
        <v>173</v>
      </c>
      <c r="C48" s="30" t="s">
        <v>177</v>
      </c>
      <c r="D48" s="30" t="s">
        <v>190</v>
      </c>
      <c r="E48" s="40"/>
      <c r="F48" s="31">
        <f>F49+F52+F57</f>
        <v>270123.23343000002</v>
      </c>
      <c r="G48" s="31">
        <f>G49+G52+G57</f>
        <v>206162.6</v>
      </c>
      <c r="H48" s="31">
        <f>H49+H52+H57</f>
        <v>204036</v>
      </c>
    </row>
    <row r="49" spans="1:8" s="195" customFormat="1" ht="12" x14ac:dyDescent="0.2">
      <c r="A49" s="29" t="s">
        <v>191</v>
      </c>
      <c r="B49" s="30" t="s">
        <v>173</v>
      </c>
      <c r="C49" s="30" t="s">
        <v>177</v>
      </c>
      <c r="D49" s="30" t="s">
        <v>192</v>
      </c>
      <c r="E49" s="30"/>
      <c r="F49" s="31">
        <f>F50</f>
        <v>229725.519</v>
      </c>
      <c r="G49" s="31">
        <f t="shared" ref="G49:H49" si="6">G50</f>
        <v>177154.1</v>
      </c>
      <c r="H49" s="31">
        <f t="shared" si="6"/>
        <v>175027.5</v>
      </c>
    </row>
    <row r="50" spans="1:8" s="195" customFormat="1" ht="24" x14ac:dyDescent="0.2">
      <c r="A50" s="35" t="s">
        <v>185</v>
      </c>
      <c r="B50" s="36" t="s">
        <v>173</v>
      </c>
      <c r="C50" s="36" t="s">
        <v>177</v>
      </c>
      <c r="D50" s="36" t="s">
        <v>192</v>
      </c>
      <c r="E50" s="36" t="s">
        <v>186</v>
      </c>
      <c r="F50" s="37">
        <f>F51</f>
        <v>229725.519</v>
      </c>
      <c r="G50" s="37">
        <f>G51</f>
        <v>177154.1</v>
      </c>
      <c r="H50" s="37">
        <f>H51</f>
        <v>175027.5</v>
      </c>
    </row>
    <row r="51" spans="1:8" s="195" customFormat="1" ht="12" x14ac:dyDescent="0.2">
      <c r="A51" s="35" t="s">
        <v>187</v>
      </c>
      <c r="B51" s="36" t="s">
        <v>173</v>
      </c>
      <c r="C51" s="36" t="s">
        <v>177</v>
      </c>
      <c r="D51" s="36" t="s">
        <v>192</v>
      </c>
      <c r="E51" s="36" t="s">
        <v>188</v>
      </c>
      <c r="F51" s="37">
        <f>98353.3+300+100+934+29793.3+9596.1+9267.5+6899.3+50+2098.7+12375.4+17386.5+23708.69+2462.764+2033.298+2975.801+2297.599+2596.251-21000+21000+7997.016-1000-500</f>
        <v>229725.519</v>
      </c>
      <c r="G51" s="37">
        <f>98353.3+300+100+934+29793.3-10000+9596.1+9267.5+6899.3+50+2098.7+12375.4+17386.5</f>
        <v>177154.1</v>
      </c>
      <c r="H51" s="37">
        <f>98353.3+300+100+934+29793.3-12126.6+9596.1+9267.5+6899.3+50+2098.7+12375.4+17386.5</f>
        <v>175027.5</v>
      </c>
    </row>
    <row r="52" spans="1:8" s="195" customFormat="1" ht="12" x14ac:dyDescent="0.2">
      <c r="A52" s="29" t="s">
        <v>193</v>
      </c>
      <c r="B52" s="30" t="s">
        <v>173</v>
      </c>
      <c r="C52" s="30" t="s">
        <v>177</v>
      </c>
      <c r="D52" s="30" t="s">
        <v>194</v>
      </c>
      <c r="E52" s="30"/>
      <c r="F52" s="31">
        <f>F53+F55</f>
        <v>33379.448100000001</v>
      </c>
      <c r="G52" s="31">
        <f>G53+G55</f>
        <v>29008.5</v>
      </c>
      <c r="H52" s="31">
        <f>H53+H55</f>
        <v>29008.5</v>
      </c>
    </row>
    <row r="53" spans="1:8" s="195" customFormat="1" ht="12" x14ac:dyDescent="0.2">
      <c r="A53" s="35" t="s">
        <v>195</v>
      </c>
      <c r="B53" s="36" t="s">
        <v>173</v>
      </c>
      <c r="C53" s="36" t="s">
        <v>177</v>
      </c>
      <c r="D53" s="36" t="s">
        <v>194</v>
      </c>
      <c r="E53" s="36" t="s">
        <v>196</v>
      </c>
      <c r="F53" s="37">
        <f>F54</f>
        <v>30175.887000000002</v>
      </c>
      <c r="G53" s="37">
        <f t="shared" ref="G53:H53" si="7">G54</f>
        <v>26683</v>
      </c>
      <c r="H53" s="37">
        <f t="shared" si="7"/>
        <v>26683</v>
      </c>
    </row>
    <row r="54" spans="1:8" s="195" customFormat="1" ht="12" x14ac:dyDescent="0.2">
      <c r="A54" s="35" t="s">
        <v>197</v>
      </c>
      <c r="B54" s="36" t="s">
        <v>173</v>
      </c>
      <c r="C54" s="36" t="s">
        <v>177</v>
      </c>
      <c r="D54" s="36" t="s">
        <v>194</v>
      </c>
      <c r="E54" s="36" t="s">
        <v>198</v>
      </c>
      <c r="F54" s="37">
        <f>19630.5+1652.7+2263.1+530.3+1626.4+980+995+354+500-400+59.291+91.971+1150+142.625+600</f>
        <v>30175.887000000002</v>
      </c>
      <c r="G54" s="37">
        <f t="shared" ref="G54:H54" si="8">19630.5+1652.7+2263.1+530.3+1626.4+980</f>
        <v>26683</v>
      </c>
      <c r="H54" s="37">
        <f t="shared" si="8"/>
        <v>26683</v>
      </c>
    </row>
    <row r="55" spans="1:8" s="195" customFormat="1" ht="12" x14ac:dyDescent="0.2">
      <c r="A55" s="35" t="s">
        <v>199</v>
      </c>
      <c r="B55" s="36" t="s">
        <v>173</v>
      </c>
      <c r="C55" s="36" t="s">
        <v>177</v>
      </c>
      <c r="D55" s="36" t="s">
        <v>194</v>
      </c>
      <c r="E55" s="36" t="s">
        <v>200</v>
      </c>
      <c r="F55" s="37">
        <f>F56</f>
        <v>3203.5610999999999</v>
      </c>
      <c r="G55" s="37">
        <f t="shared" ref="G55:H55" si="9">G56</f>
        <v>2325.5</v>
      </c>
      <c r="H55" s="37">
        <f t="shared" si="9"/>
        <v>2325.5</v>
      </c>
    </row>
    <row r="56" spans="1:8" s="195" customFormat="1" ht="12" x14ac:dyDescent="0.2">
      <c r="A56" s="35" t="s">
        <v>201</v>
      </c>
      <c r="B56" s="36" t="s">
        <v>173</v>
      </c>
      <c r="C56" s="36" t="s">
        <v>177</v>
      </c>
      <c r="D56" s="36" t="s">
        <v>194</v>
      </c>
      <c r="E56" s="36" t="s">
        <v>202</v>
      </c>
      <c r="F56" s="37">
        <f>2325.5+5-2+875.0611</f>
        <v>3203.5610999999999</v>
      </c>
      <c r="G56" s="37">
        <v>2325.5</v>
      </c>
      <c r="H56" s="37">
        <v>2325.5</v>
      </c>
    </row>
    <row r="57" spans="1:8" s="195" customFormat="1" ht="12" x14ac:dyDescent="0.2">
      <c r="A57" s="75" t="s">
        <v>203</v>
      </c>
      <c r="B57" s="74" t="s">
        <v>173</v>
      </c>
      <c r="C57" s="74" t="s">
        <v>177</v>
      </c>
      <c r="D57" s="74" t="s">
        <v>204</v>
      </c>
      <c r="E57" s="74"/>
      <c r="F57" s="127">
        <f t="shared" ref="F57:G58" si="10">F58</f>
        <v>7018.2663300000013</v>
      </c>
      <c r="G57" s="249">
        <f t="shared" si="10"/>
        <v>0</v>
      </c>
      <c r="H57" s="37"/>
    </row>
    <row r="58" spans="1:8" s="195" customFormat="1" ht="24" x14ac:dyDescent="0.2">
      <c r="A58" s="73" t="s">
        <v>185</v>
      </c>
      <c r="B58" s="12" t="s">
        <v>173</v>
      </c>
      <c r="C58" s="12" t="s">
        <v>177</v>
      </c>
      <c r="D58" s="12" t="s">
        <v>204</v>
      </c>
      <c r="E58" s="12" t="s">
        <v>186</v>
      </c>
      <c r="F58" s="115">
        <f t="shared" si="10"/>
        <v>7018.2663300000013</v>
      </c>
      <c r="G58" s="249">
        <f t="shared" si="10"/>
        <v>0</v>
      </c>
      <c r="H58" s="37"/>
    </row>
    <row r="59" spans="1:8" s="195" customFormat="1" ht="12" x14ac:dyDescent="0.2">
      <c r="A59" s="73" t="s">
        <v>187</v>
      </c>
      <c r="B59" s="12" t="s">
        <v>173</v>
      </c>
      <c r="C59" s="12" t="s">
        <v>177</v>
      </c>
      <c r="D59" s="12" t="s">
        <v>204</v>
      </c>
      <c r="E59" s="12" t="s">
        <v>188</v>
      </c>
      <c r="F59" s="37">
        <f>3825.64321+412.8392+330.27136+385.31659+495.40703+743.11055+825.67839</f>
        <v>7018.2663300000013</v>
      </c>
      <c r="G59" s="249">
        <v>0</v>
      </c>
      <c r="H59" s="37"/>
    </row>
    <row r="60" spans="1:8" s="195" customFormat="1" ht="12" x14ac:dyDescent="0.2">
      <c r="A60" s="29" t="s">
        <v>205</v>
      </c>
      <c r="B60" s="30" t="s">
        <v>173</v>
      </c>
      <c r="C60" s="30" t="s">
        <v>206</v>
      </c>
      <c r="D60" s="30"/>
      <c r="E60" s="30"/>
      <c r="F60" s="45">
        <f t="shared" ref="F60:H64" si="11">F61</f>
        <v>21.8</v>
      </c>
      <c r="G60" s="45">
        <f t="shared" si="11"/>
        <v>23.1</v>
      </c>
      <c r="H60" s="45">
        <f t="shared" si="11"/>
        <v>20.8</v>
      </c>
    </row>
    <row r="61" spans="1:8" s="195" customFormat="1" ht="12" x14ac:dyDescent="0.2">
      <c r="A61" s="39" t="s">
        <v>178</v>
      </c>
      <c r="B61" s="40" t="s">
        <v>173</v>
      </c>
      <c r="C61" s="40" t="s">
        <v>206</v>
      </c>
      <c r="D61" s="40" t="s">
        <v>189</v>
      </c>
      <c r="E61" s="36"/>
      <c r="F61" s="47">
        <f t="shared" si="11"/>
        <v>21.8</v>
      </c>
      <c r="G61" s="47">
        <f t="shared" si="11"/>
        <v>23.1</v>
      </c>
      <c r="H61" s="47">
        <f t="shared" si="11"/>
        <v>20.8</v>
      </c>
    </row>
    <row r="62" spans="1:8" s="195" customFormat="1" ht="12" x14ac:dyDescent="0.2">
      <c r="A62" s="29" t="s">
        <v>180</v>
      </c>
      <c r="B62" s="30" t="s">
        <v>173</v>
      </c>
      <c r="C62" s="30" t="s">
        <v>206</v>
      </c>
      <c r="D62" s="30" t="s">
        <v>190</v>
      </c>
      <c r="E62" s="36"/>
      <c r="F62" s="45">
        <f t="shared" si="11"/>
        <v>21.8</v>
      </c>
      <c r="G62" s="45">
        <f t="shared" si="11"/>
        <v>23.1</v>
      </c>
      <c r="H62" s="45">
        <f t="shared" si="11"/>
        <v>20.8</v>
      </c>
    </row>
    <row r="63" spans="1:8" s="195" customFormat="1" ht="24" x14ac:dyDescent="0.2">
      <c r="A63" s="29" t="s">
        <v>207</v>
      </c>
      <c r="B63" s="30" t="s">
        <v>173</v>
      </c>
      <c r="C63" s="30" t="s">
        <v>206</v>
      </c>
      <c r="D63" s="30" t="s">
        <v>208</v>
      </c>
      <c r="E63" s="30"/>
      <c r="F63" s="45">
        <f t="shared" si="11"/>
        <v>21.8</v>
      </c>
      <c r="G63" s="45">
        <f t="shared" si="11"/>
        <v>23.1</v>
      </c>
      <c r="H63" s="45">
        <f t="shared" si="11"/>
        <v>20.8</v>
      </c>
    </row>
    <row r="64" spans="1:8" s="195" customFormat="1" ht="12" x14ac:dyDescent="0.2">
      <c r="A64" s="35" t="s">
        <v>195</v>
      </c>
      <c r="B64" s="36" t="s">
        <v>173</v>
      </c>
      <c r="C64" s="36" t="s">
        <v>206</v>
      </c>
      <c r="D64" s="36" t="s">
        <v>208</v>
      </c>
      <c r="E64" s="36" t="s">
        <v>196</v>
      </c>
      <c r="F64" s="46">
        <f t="shared" si="11"/>
        <v>21.8</v>
      </c>
      <c r="G64" s="46">
        <f t="shared" si="11"/>
        <v>23.1</v>
      </c>
      <c r="H64" s="46">
        <f t="shared" si="11"/>
        <v>20.8</v>
      </c>
    </row>
    <row r="65" spans="1:8" s="195" customFormat="1" ht="12" x14ac:dyDescent="0.2">
      <c r="A65" s="35" t="s">
        <v>197</v>
      </c>
      <c r="B65" s="36" t="s">
        <v>173</v>
      </c>
      <c r="C65" s="36" t="s">
        <v>206</v>
      </c>
      <c r="D65" s="36" t="s">
        <v>208</v>
      </c>
      <c r="E65" s="36" t="s">
        <v>198</v>
      </c>
      <c r="F65" s="37">
        <v>21.8</v>
      </c>
      <c r="G65" s="37">
        <v>23.1</v>
      </c>
      <c r="H65" s="37">
        <v>20.8</v>
      </c>
    </row>
    <row r="66" spans="1:8" s="195" customFormat="1" ht="24" x14ac:dyDescent="0.2">
      <c r="A66" s="29" t="s">
        <v>655</v>
      </c>
      <c r="B66" s="30" t="s">
        <v>173</v>
      </c>
      <c r="C66" s="30" t="s">
        <v>656</v>
      </c>
      <c r="D66" s="30"/>
      <c r="E66" s="30"/>
      <c r="F66" s="31">
        <f>F67+F77</f>
        <v>46639.085800000001</v>
      </c>
      <c r="G66" s="31">
        <f>G67+G77</f>
        <v>39585.1</v>
      </c>
      <c r="H66" s="31">
        <f>H67+H77</f>
        <v>39585.1</v>
      </c>
    </row>
    <row r="67" spans="1:8" s="195" customFormat="1" ht="24" x14ac:dyDescent="0.2">
      <c r="A67" s="39" t="s">
        <v>765</v>
      </c>
      <c r="B67" s="40" t="s">
        <v>173</v>
      </c>
      <c r="C67" s="40" t="s">
        <v>656</v>
      </c>
      <c r="D67" s="40" t="s">
        <v>766</v>
      </c>
      <c r="E67" s="49"/>
      <c r="F67" s="41">
        <f>F68</f>
        <v>20586.325000000001</v>
      </c>
      <c r="G67" s="41">
        <f t="shared" ref="G67:H67" si="12">G68</f>
        <v>17508</v>
      </c>
      <c r="H67" s="41">
        <f t="shared" si="12"/>
        <v>17508</v>
      </c>
    </row>
    <row r="68" spans="1:8" s="195" customFormat="1" ht="12" x14ac:dyDescent="0.2">
      <c r="A68" s="29" t="s">
        <v>180</v>
      </c>
      <c r="B68" s="30" t="s">
        <v>173</v>
      </c>
      <c r="C68" s="30" t="s">
        <v>656</v>
      </c>
      <c r="D68" s="30" t="s">
        <v>767</v>
      </c>
      <c r="E68" s="30"/>
      <c r="F68" s="31">
        <f>F69+F72</f>
        <v>20586.325000000001</v>
      </c>
      <c r="G68" s="31">
        <f>G69+G72</f>
        <v>17508</v>
      </c>
      <c r="H68" s="31">
        <f>H69+H72</f>
        <v>17508</v>
      </c>
    </row>
    <row r="69" spans="1:8" s="195" customFormat="1" ht="24" x14ac:dyDescent="0.2">
      <c r="A69" s="29" t="s">
        <v>768</v>
      </c>
      <c r="B69" s="30" t="s">
        <v>173</v>
      </c>
      <c r="C69" s="30" t="s">
        <v>656</v>
      </c>
      <c r="D69" s="30" t="s">
        <v>769</v>
      </c>
      <c r="E69" s="30"/>
      <c r="F69" s="31">
        <f>F70</f>
        <v>18374.525000000001</v>
      </c>
      <c r="G69" s="31">
        <f t="shared" ref="G69:H70" si="13">G70</f>
        <v>15296.2</v>
      </c>
      <c r="H69" s="31">
        <f t="shared" si="13"/>
        <v>15296.2</v>
      </c>
    </row>
    <row r="70" spans="1:8" s="195" customFormat="1" ht="24" x14ac:dyDescent="0.2">
      <c r="A70" s="35" t="s">
        <v>185</v>
      </c>
      <c r="B70" s="36" t="s">
        <v>173</v>
      </c>
      <c r="C70" s="36" t="s">
        <v>656</v>
      </c>
      <c r="D70" s="36" t="s">
        <v>769</v>
      </c>
      <c r="E70" s="36" t="s">
        <v>186</v>
      </c>
      <c r="F70" s="37">
        <f>F71</f>
        <v>18374.525000000001</v>
      </c>
      <c r="G70" s="37">
        <f t="shared" si="13"/>
        <v>15296.2</v>
      </c>
      <c r="H70" s="37">
        <f t="shared" si="13"/>
        <v>15296.2</v>
      </c>
    </row>
    <row r="71" spans="1:8" s="195" customFormat="1" ht="12" x14ac:dyDescent="0.2">
      <c r="A71" s="35" t="s">
        <v>187</v>
      </c>
      <c r="B71" s="36" t="s">
        <v>173</v>
      </c>
      <c r="C71" s="36" t="s">
        <v>656</v>
      </c>
      <c r="D71" s="36" t="s">
        <v>769</v>
      </c>
      <c r="E71" s="36" t="s">
        <v>188</v>
      </c>
      <c r="F71" s="37">
        <f>15296.2+3078.325</f>
        <v>18374.525000000001</v>
      </c>
      <c r="G71" s="37">
        <v>15296.2</v>
      </c>
      <c r="H71" s="37">
        <v>15296.2</v>
      </c>
    </row>
    <row r="72" spans="1:8" s="195" customFormat="1" ht="24" x14ac:dyDescent="0.2">
      <c r="A72" s="29" t="s">
        <v>770</v>
      </c>
      <c r="B72" s="30" t="s">
        <v>173</v>
      </c>
      <c r="C72" s="30" t="s">
        <v>656</v>
      </c>
      <c r="D72" s="30" t="s">
        <v>771</v>
      </c>
      <c r="E72" s="30"/>
      <c r="F72" s="31">
        <f>F73+F75</f>
        <v>2211.8000000000002</v>
      </c>
      <c r="G72" s="31">
        <f>G73+G75</f>
        <v>2211.8000000000002</v>
      </c>
      <c r="H72" s="31">
        <f>H73+H75</f>
        <v>2211.8000000000002</v>
      </c>
    </row>
    <row r="73" spans="1:8" s="195" customFormat="1" ht="12" x14ac:dyDescent="0.2">
      <c r="A73" s="35" t="s">
        <v>195</v>
      </c>
      <c r="B73" s="36" t="s">
        <v>173</v>
      </c>
      <c r="C73" s="36" t="s">
        <v>656</v>
      </c>
      <c r="D73" s="36" t="s">
        <v>771</v>
      </c>
      <c r="E73" s="36" t="s">
        <v>196</v>
      </c>
      <c r="F73" s="37">
        <f>F74</f>
        <v>2173.3000000000002</v>
      </c>
      <c r="G73" s="37">
        <f t="shared" ref="G73:H73" si="14">G74</f>
        <v>2173.3000000000002</v>
      </c>
      <c r="H73" s="37">
        <f t="shared" si="14"/>
        <v>2173.3000000000002</v>
      </c>
    </row>
    <row r="74" spans="1:8" s="195" customFormat="1" ht="12" x14ac:dyDescent="0.2">
      <c r="A74" s="35" t="s">
        <v>197</v>
      </c>
      <c r="B74" s="36" t="s">
        <v>173</v>
      </c>
      <c r="C74" s="36" t="s">
        <v>656</v>
      </c>
      <c r="D74" s="36" t="s">
        <v>771</v>
      </c>
      <c r="E74" s="36" t="s">
        <v>198</v>
      </c>
      <c r="F74" s="37">
        <v>2173.3000000000002</v>
      </c>
      <c r="G74" s="37">
        <v>2173.3000000000002</v>
      </c>
      <c r="H74" s="37">
        <v>2173.3000000000002</v>
      </c>
    </row>
    <row r="75" spans="1:8" s="195" customFormat="1" ht="12" x14ac:dyDescent="0.2">
      <c r="A75" s="35" t="s">
        <v>199</v>
      </c>
      <c r="B75" s="36" t="s">
        <v>173</v>
      </c>
      <c r="C75" s="36" t="s">
        <v>656</v>
      </c>
      <c r="D75" s="36" t="s">
        <v>771</v>
      </c>
      <c r="E75" s="36" t="s">
        <v>200</v>
      </c>
      <c r="F75" s="37">
        <f>F76</f>
        <v>38.5</v>
      </c>
      <c r="G75" s="37">
        <f t="shared" ref="G75:H75" si="15">G76</f>
        <v>38.5</v>
      </c>
      <c r="H75" s="37">
        <f t="shared" si="15"/>
        <v>38.5</v>
      </c>
    </row>
    <row r="76" spans="1:8" s="195" customFormat="1" ht="12" x14ac:dyDescent="0.2">
      <c r="A76" s="35" t="s">
        <v>201</v>
      </c>
      <c r="B76" s="36" t="s">
        <v>173</v>
      </c>
      <c r="C76" s="36" t="s">
        <v>656</v>
      </c>
      <c r="D76" s="36" t="s">
        <v>771</v>
      </c>
      <c r="E76" s="36" t="s">
        <v>202</v>
      </c>
      <c r="F76" s="37">
        <v>38.5</v>
      </c>
      <c r="G76" s="37">
        <v>38.5</v>
      </c>
      <c r="H76" s="37">
        <v>38.5</v>
      </c>
    </row>
    <row r="77" spans="1:8" s="195" customFormat="1" ht="24" x14ac:dyDescent="0.2">
      <c r="A77" s="29" t="s">
        <v>655</v>
      </c>
      <c r="B77" s="30" t="s">
        <v>173</v>
      </c>
      <c r="C77" s="30" t="s">
        <v>656</v>
      </c>
      <c r="D77" s="30"/>
      <c r="E77" s="30"/>
      <c r="F77" s="31">
        <f>F78</f>
        <v>26052.760800000004</v>
      </c>
      <c r="G77" s="31">
        <f t="shared" ref="G77:H78" si="16">G78</f>
        <v>22077.1</v>
      </c>
      <c r="H77" s="31">
        <f t="shared" si="16"/>
        <v>22077.1</v>
      </c>
    </row>
    <row r="78" spans="1:8" s="195" customFormat="1" ht="12" x14ac:dyDescent="0.2">
      <c r="A78" s="39" t="s">
        <v>657</v>
      </c>
      <c r="B78" s="40" t="s">
        <v>173</v>
      </c>
      <c r="C78" s="40" t="s">
        <v>656</v>
      </c>
      <c r="D78" s="40" t="s">
        <v>189</v>
      </c>
      <c r="E78" s="36"/>
      <c r="F78" s="31">
        <f>F79</f>
        <v>26052.760800000004</v>
      </c>
      <c r="G78" s="31">
        <f t="shared" si="16"/>
        <v>22077.1</v>
      </c>
      <c r="H78" s="31">
        <f t="shared" si="16"/>
        <v>22077.1</v>
      </c>
    </row>
    <row r="79" spans="1:8" s="195" customFormat="1" ht="12" x14ac:dyDescent="0.2">
      <c r="A79" s="29" t="s">
        <v>180</v>
      </c>
      <c r="B79" s="30" t="s">
        <v>173</v>
      </c>
      <c r="C79" s="30" t="s">
        <v>656</v>
      </c>
      <c r="D79" s="30" t="s">
        <v>190</v>
      </c>
      <c r="E79" s="49"/>
      <c r="F79" s="41">
        <f>F80+F83+F88</f>
        <v>26052.760800000004</v>
      </c>
      <c r="G79" s="41">
        <f>G80+G83+G88</f>
        <v>22077.1</v>
      </c>
      <c r="H79" s="41">
        <f>H80+H83+H88</f>
        <v>22077.1</v>
      </c>
    </row>
    <row r="80" spans="1:8" s="195" customFormat="1" ht="12" x14ac:dyDescent="0.2">
      <c r="A80" s="29" t="s">
        <v>658</v>
      </c>
      <c r="B80" s="30" t="s">
        <v>173</v>
      </c>
      <c r="C80" s="30" t="s">
        <v>656</v>
      </c>
      <c r="D80" s="30" t="s">
        <v>192</v>
      </c>
      <c r="E80" s="36"/>
      <c r="F80" s="31">
        <f t="shared" ref="F80:H81" si="17">F81</f>
        <v>21695.714</v>
      </c>
      <c r="G80" s="31">
        <f t="shared" si="17"/>
        <v>17967.099999999999</v>
      </c>
      <c r="H80" s="31">
        <f t="shared" si="17"/>
        <v>17967.099999999999</v>
      </c>
    </row>
    <row r="81" spans="1:8" s="195" customFormat="1" ht="24" x14ac:dyDescent="0.2">
      <c r="A81" s="35" t="s">
        <v>185</v>
      </c>
      <c r="B81" s="36" t="s">
        <v>173</v>
      </c>
      <c r="C81" s="36" t="s">
        <v>656</v>
      </c>
      <c r="D81" s="36" t="s">
        <v>192</v>
      </c>
      <c r="E81" s="36" t="s">
        <v>186</v>
      </c>
      <c r="F81" s="37">
        <f t="shared" si="17"/>
        <v>21695.714</v>
      </c>
      <c r="G81" s="37">
        <f t="shared" si="17"/>
        <v>17967.099999999999</v>
      </c>
      <c r="H81" s="37">
        <f t="shared" si="17"/>
        <v>17967.099999999999</v>
      </c>
    </row>
    <row r="82" spans="1:8" s="195" customFormat="1" ht="12" x14ac:dyDescent="0.2">
      <c r="A82" s="35" t="s">
        <v>187</v>
      </c>
      <c r="B82" s="36" t="s">
        <v>173</v>
      </c>
      <c r="C82" s="36" t="s">
        <v>656</v>
      </c>
      <c r="D82" s="36" t="s">
        <v>192</v>
      </c>
      <c r="E82" s="36" t="s">
        <v>188</v>
      </c>
      <c r="F82" s="37">
        <f>17967.1+3728.614</f>
        <v>21695.714</v>
      </c>
      <c r="G82" s="37">
        <v>17967.099999999999</v>
      </c>
      <c r="H82" s="37">
        <v>17967.099999999999</v>
      </c>
    </row>
    <row r="83" spans="1:8" s="195" customFormat="1" ht="12" x14ac:dyDescent="0.2">
      <c r="A83" s="29" t="s">
        <v>659</v>
      </c>
      <c r="B83" s="30" t="s">
        <v>173</v>
      </c>
      <c r="C83" s="30" t="s">
        <v>656</v>
      </c>
      <c r="D83" s="30" t="s">
        <v>194</v>
      </c>
      <c r="E83" s="30"/>
      <c r="F83" s="31">
        <f>F84+F86</f>
        <v>3668.9814800000004</v>
      </c>
      <c r="G83" s="31">
        <f>G84+G86</f>
        <v>4110</v>
      </c>
      <c r="H83" s="31">
        <f>H84+H86</f>
        <v>4110</v>
      </c>
    </row>
    <row r="84" spans="1:8" s="195" customFormat="1" ht="12" x14ac:dyDescent="0.2">
      <c r="A84" s="35" t="s">
        <v>195</v>
      </c>
      <c r="B84" s="36" t="s">
        <v>173</v>
      </c>
      <c r="C84" s="36" t="s">
        <v>656</v>
      </c>
      <c r="D84" s="36" t="s">
        <v>194</v>
      </c>
      <c r="E84" s="36" t="s">
        <v>196</v>
      </c>
      <c r="F84" s="37">
        <f>F85</f>
        <v>3663.9814800000004</v>
      </c>
      <c r="G84" s="37">
        <f>G85</f>
        <v>4105</v>
      </c>
      <c r="H84" s="37">
        <f>H85</f>
        <v>4105</v>
      </c>
    </row>
    <row r="85" spans="1:8" s="195" customFormat="1" ht="12" x14ac:dyDescent="0.2">
      <c r="A85" s="35" t="s">
        <v>197</v>
      </c>
      <c r="B85" s="36" t="s">
        <v>173</v>
      </c>
      <c r="C85" s="36" t="s">
        <v>656</v>
      </c>
      <c r="D85" s="36" t="s">
        <v>194</v>
      </c>
      <c r="E85" s="36" t="s">
        <v>198</v>
      </c>
      <c r="F85" s="37">
        <f>4105-209.662-31.35652-200</f>
        <v>3663.9814800000004</v>
      </c>
      <c r="G85" s="37">
        <v>4105</v>
      </c>
      <c r="H85" s="37">
        <v>4105</v>
      </c>
    </row>
    <row r="86" spans="1:8" s="195" customFormat="1" ht="12" x14ac:dyDescent="0.2">
      <c r="A86" s="35" t="s">
        <v>199</v>
      </c>
      <c r="B86" s="36" t="s">
        <v>173</v>
      </c>
      <c r="C86" s="36" t="s">
        <v>656</v>
      </c>
      <c r="D86" s="36" t="s">
        <v>194</v>
      </c>
      <c r="E86" s="36" t="s">
        <v>200</v>
      </c>
      <c r="F86" s="37">
        <f>F87</f>
        <v>5</v>
      </c>
      <c r="G86" s="37">
        <f>G87</f>
        <v>5</v>
      </c>
      <c r="H86" s="37">
        <f>H87</f>
        <v>5</v>
      </c>
    </row>
    <row r="87" spans="1:8" s="195" customFormat="1" ht="12" x14ac:dyDescent="0.2">
      <c r="A87" s="35" t="s">
        <v>201</v>
      </c>
      <c r="B87" s="36" t="s">
        <v>173</v>
      </c>
      <c r="C87" s="36" t="s">
        <v>656</v>
      </c>
      <c r="D87" s="36" t="s">
        <v>194</v>
      </c>
      <c r="E87" s="36" t="s">
        <v>202</v>
      </c>
      <c r="F87" s="37">
        <v>5</v>
      </c>
      <c r="G87" s="37">
        <v>5</v>
      </c>
      <c r="H87" s="37">
        <v>5</v>
      </c>
    </row>
    <row r="88" spans="1:8" s="195" customFormat="1" ht="12" x14ac:dyDescent="0.2">
      <c r="A88" s="75" t="s">
        <v>203</v>
      </c>
      <c r="B88" s="74" t="s">
        <v>173</v>
      </c>
      <c r="C88" s="74" t="s">
        <v>656</v>
      </c>
      <c r="D88" s="74" t="s">
        <v>204</v>
      </c>
      <c r="E88" s="74"/>
      <c r="F88" s="127">
        <f t="shared" ref="F88:H89" si="18">F89</f>
        <v>688.06532000000004</v>
      </c>
      <c r="G88" s="248">
        <f t="shared" si="18"/>
        <v>0</v>
      </c>
      <c r="H88" s="248">
        <f t="shared" si="18"/>
        <v>0</v>
      </c>
    </row>
    <row r="89" spans="1:8" s="195" customFormat="1" ht="24" x14ac:dyDescent="0.2">
      <c r="A89" s="73" t="s">
        <v>185</v>
      </c>
      <c r="B89" s="12" t="s">
        <v>173</v>
      </c>
      <c r="C89" s="12" t="s">
        <v>656</v>
      </c>
      <c r="D89" s="12" t="s">
        <v>204</v>
      </c>
      <c r="E89" s="12" t="s">
        <v>186</v>
      </c>
      <c r="F89" s="115">
        <f t="shared" si="18"/>
        <v>688.06532000000004</v>
      </c>
      <c r="G89" s="249">
        <f t="shared" si="18"/>
        <v>0</v>
      </c>
      <c r="H89" s="249">
        <f t="shared" si="18"/>
        <v>0</v>
      </c>
    </row>
    <row r="90" spans="1:8" s="195" customFormat="1" ht="12" x14ac:dyDescent="0.2">
      <c r="A90" s="73" t="s">
        <v>187</v>
      </c>
      <c r="B90" s="12" t="s">
        <v>173</v>
      </c>
      <c r="C90" s="12" t="s">
        <v>656</v>
      </c>
      <c r="D90" s="12" t="s">
        <v>204</v>
      </c>
      <c r="E90" s="12" t="s">
        <v>188</v>
      </c>
      <c r="F90" s="115">
        <v>688.06532000000004</v>
      </c>
      <c r="G90" s="249">
        <v>0</v>
      </c>
      <c r="H90" s="249">
        <v>0</v>
      </c>
    </row>
    <row r="91" spans="1:8" s="195" customFormat="1" ht="12" x14ac:dyDescent="0.2">
      <c r="A91" s="29" t="s">
        <v>209</v>
      </c>
      <c r="B91" s="30" t="s">
        <v>173</v>
      </c>
      <c r="C91" s="30" t="s">
        <v>210</v>
      </c>
      <c r="D91" s="30"/>
      <c r="E91" s="30"/>
      <c r="F91" s="31">
        <f>F92</f>
        <v>3750</v>
      </c>
      <c r="G91" s="31">
        <f t="shared" ref="G91:H95" si="19">G92</f>
        <v>3000</v>
      </c>
      <c r="H91" s="31">
        <f t="shared" si="19"/>
        <v>3000</v>
      </c>
    </row>
    <row r="92" spans="1:8" s="195" customFormat="1" ht="12" x14ac:dyDescent="0.2">
      <c r="A92" s="39" t="s">
        <v>178</v>
      </c>
      <c r="B92" s="40" t="s">
        <v>173</v>
      </c>
      <c r="C92" s="40" t="s">
        <v>210</v>
      </c>
      <c r="D92" s="40" t="s">
        <v>189</v>
      </c>
      <c r="E92" s="40"/>
      <c r="F92" s="41">
        <f>F93</f>
        <v>3750</v>
      </c>
      <c r="G92" s="41">
        <f t="shared" si="19"/>
        <v>3000</v>
      </c>
      <c r="H92" s="41">
        <f t="shared" si="19"/>
        <v>3000</v>
      </c>
    </row>
    <row r="93" spans="1:8" s="195" customFormat="1" ht="12" x14ac:dyDescent="0.2">
      <c r="A93" s="29" t="s">
        <v>180</v>
      </c>
      <c r="B93" s="30" t="s">
        <v>173</v>
      </c>
      <c r="C93" s="30" t="s">
        <v>210</v>
      </c>
      <c r="D93" s="30" t="s">
        <v>190</v>
      </c>
      <c r="E93" s="30"/>
      <c r="F93" s="31">
        <f>F94</f>
        <v>3750</v>
      </c>
      <c r="G93" s="31">
        <f t="shared" si="19"/>
        <v>3000</v>
      </c>
      <c r="H93" s="31">
        <f t="shared" si="19"/>
        <v>3000</v>
      </c>
    </row>
    <row r="94" spans="1:8" s="195" customFormat="1" ht="12" x14ac:dyDescent="0.2">
      <c r="A94" s="29" t="s">
        <v>211</v>
      </c>
      <c r="B94" s="30" t="s">
        <v>173</v>
      </c>
      <c r="C94" s="30" t="s">
        <v>210</v>
      </c>
      <c r="D94" s="30" t="s">
        <v>212</v>
      </c>
      <c r="E94" s="30"/>
      <c r="F94" s="31">
        <f>F95</f>
        <v>3750</v>
      </c>
      <c r="G94" s="31">
        <f t="shared" si="19"/>
        <v>3000</v>
      </c>
      <c r="H94" s="31">
        <f t="shared" si="19"/>
        <v>3000</v>
      </c>
    </row>
    <row r="95" spans="1:8" s="195" customFormat="1" ht="12" x14ac:dyDescent="0.2">
      <c r="A95" s="35" t="s">
        <v>199</v>
      </c>
      <c r="B95" s="36" t="s">
        <v>173</v>
      </c>
      <c r="C95" s="36" t="s">
        <v>210</v>
      </c>
      <c r="D95" s="36" t="s">
        <v>212</v>
      </c>
      <c r="E95" s="36" t="s">
        <v>200</v>
      </c>
      <c r="F95" s="37">
        <f>F96</f>
        <v>3750</v>
      </c>
      <c r="G95" s="37">
        <f t="shared" si="19"/>
        <v>3000</v>
      </c>
      <c r="H95" s="37">
        <f t="shared" si="19"/>
        <v>3000</v>
      </c>
    </row>
    <row r="96" spans="1:8" s="195" customFormat="1" ht="12" x14ac:dyDescent="0.2">
      <c r="A96" s="35" t="s">
        <v>213</v>
      </c>
      <c r="B96" s="36" t="s">
        <v>173</v>
      </c>
      <c r="C96" s="36" t="s">
        <v>210</v>
      </c>
      <c r="D96" s="36" t="s">
        <v>212</v>
      </c>
      <c r="E96" s="36" t="s">
        <v>214</v>
      </c>
      <c r="F96" s="37">
        <f>10700-150-1100-100-5600</f>
        <v>3750</v>
      </c>
      <c r="G96" s="37">
        <v>3000</v>
      </c>
      <c r="H96" s="37">
        <v>3000</v>
      </c>
    </row>
    <row r="97" spans="1:8" s="195" customFormat="1" ht="12" x14ac:dyDescent="0.2">
      <c r="A97" s="29" t="s">
        <v>215</v>
      </c>
      <c r="B97" s="30" t="s">
        <v>173</v>
      </c>
      <c r="C97" s="30" t="s">
        <v>216</v>
      </c>
      <c r="D97" s="30"/>
      <c r="E97" s="30"/>
      <c r="F97" s="31">
        <f>F98+F131+F136+F149</f>
        <v>203566.35369000002</v>
      </c>
      <c r="G97" s="31">
        <f>G98+G131+G136+G149</f>
        <v>185316.2</v>
      </c>
      <c r="H97" s="31">
        <f>H98+H131+H136+H149</f>
        <v>197539</v>
      </c>
    </row>
    <row r="98" spans="1:8" s="195" customFormat="1" ht="12" x14ac:dyDescent="0.2">
      <c r="A98" s="39" t="s">
        <v>217</v>
      </c>
      <c r="B98" s="40" t="s">
        <v>173</v>
      </c>
      <c r="C98" s="40" t="s">
        <v>216</v>
      </c>
      <c r="D98" s="202" t="s">
        <v>218</v>
      </c>
      <c r="E98" s="56"/>
      <c r="F98" s="41">
        <f>F99+F121</f>
        <v>83000</v>
      </c>
      <c r="G98" s="41">
        <f>G99+G121</f>
        <v>96008</v>
      </c>
      <c r="H98" s="41">
        <f>H99+H121</f>
        <v>93131</v>
      </c>
    </row>
    <row r="99" spans="1:8" s="195" customFormat="1" ht="12" x14ac:dyDescent="0.2">
      <c r="A99" s="42" t="s">
        <v>219</v>
      </c>
      <c r="B99" s="40" t="s">
        <v>173</v>
      </c>
      <c r="C99" s="40" t="s">
        <v>216</v>
      </c>
      <c r="D99" s="43" t="s">
        <v>220</v>
      </c>
      <c r="E99" s="56"/>
      <c r="F99" s="41">
        <f>F100+F103+F106+F109+F112+F115+F118</f>
        <v>80950</v>
      </c>
      <c r="G99" s="41">
        <f>G100+G103+G106+G109+G112+G115+G118</f>
        <v>84958</v>
      </c>
      <c r="H99" s="41">
        <f>H100+H103+H106+H109+H112+H115+H118</f>
        <v>87081</v>
      </c>
    </row>
    <row r="100" spans="1:8" s="195" customFormat="1" ht="12" x14ac:dyDescent="0.2">
      <c r="A100" s="50" t="s">
        <v>221</v>
      </c>
      <c r="B100" s="30" t="s">
        <v>173</v>
      </c>
      <c r="C100" s="30" t="s">
        <v>216</v>
      </c>
      <c r="D100" s="51" t="s">
        <v>222</v>
      </c>
      <c r="E100" s="55"/>
      <c r="F100" s="31">
        <f>F101</f>
        <v>3062</v>
      </c>
      <c r="G100" s="31">
        <f t="shared" ref="G100:H101" si="20">G101</f>
        <v>5350</v>
      </c>
      <c r="H100" s="31">
        <f t="shared" si="20"/>
        <v>5350</v>
      </c>
    </row>
    <row r="101" spans="1:8" s="195" customFormat="1" ht="12" x14ac:dyDescent="0.2">
      <c r="A101" s="35" t="s">
        <v>195</v>
      </c>
      <c r="B101" s="36" t="s">
        <v>173</v>
      </c>
      <c r="C101" s="36" t="s">
        <v>216</v>
      </c>
      <c r="D101" s="44" t="s">
        <v>222</v>
      </c>
      <c r="E101" s="48">
        <v>200</v>
      </c>
      <c r="F101" s="37">
        <f>F102</f>
        <v>3062</v>
      </c>
      <c r="G101" s="37">
        <f t="shared" si="20"/>
        <v>5350</v>
      </c>
      <c r="H101" s="37">
        <f t="shared" si="20"/>
        <v>5350</v>
      </c>
    </row>
    <row r="102" spans="1:8" s="195" customFormat="1" ht="12" x14ac:dyDescent="0.2">
      <c r="A102" s="35" t="s">
        <v>197</v>
      </c>
      <c r="B102" s="36" t="s">
        <v>173</v>
      </c>
      <c r="C102" s="36" t="s">
        <v>216</v>
      </c>
      <c r="D102" s="44" t="s">
        <v>222</v>
      </c>
      <c r="E102" s="48">
        <v>240</v>
      </c>
      <c r="F102" s="37">
        <v>3062</v>
      </c>
      <c r="G102" s="37">
        <v>5350</v>
      </c>
      <c r="H102" s="37">
        <v>5350</v>
      </c>
    </row>
    <row r="103" spans="1:8" s="195" customFormat="1" ht="24" x14ac:dyDescent="0.2">
      <c r="A103" s="50" t="s">
        <v>223</v>
      </c>
      <c r="B103" s="30" t="s">
        <v>173</v>
      </c>
      <c r="C103" s="30" t="s">
        <v>216</v>
      </c>
      <c r="D103" s="51" t="s">
        <v>224</v>
      </c>
      <c r="E103" s="48"/>
      <c r="F103" s="31">
        <f>F104</f>
        <v>1000</v>
      </c>
      <c r="G103" s="31">
        <f t="shared" ref="G103:H104" si="21">G104</f>
        <v>1100</v>
      </c>
      <c r="H103" s="31">
        <f t="shared" si="21"/>
        <v>1100</v>
      </c>
    </row>
    <row r="104" spans="1:8" s="195" customFormat="1" ht="12" x14ac:dyDescent="0.2">
      <c r="A104" s="35" t="s">
        <v>195</v>
      </c>
      <c r="B104" s="36" t="s">
        <v>173</v>
      </c>
      <c r="C104" s="36" t="s">
        <v>216</v>
      </c>
      <c r="D104" s="44" t="s">
        <v>224</v>
      </c>
      <c r="E104" s="48">
        <v>200</v>
      </c>
      <c r="F104" s="37">
        <f>F105</f>
        <v>1000</v>
      </c>
      <c r="G104" s="37">
        <f t="shared" si="21"/>
        <v>1100</v>
      </c>
      <c r="H104" s="37">
        <f t="shared" si="21"/>
        <v>1100</v>
      </c>
    </row>
    <row r="105" spans="1:8" s="195" customFormat="1" ht="12" x14ac:dyDescent="0.2">
      <c r="A105" s="35" t="s">
        <v>197</v>
      </c>
      <c r="B105" s="36" t="s">
        <v>173</v>
      </c>
      <c r="C105" s="36" t="s">
        <v>216</v>
      </c>
      <c r="D105" s="44" t="s">
        <v>224</v>
      </c>
      <c r="E105" s="48">
        <v>240</v>
      </c>
      <c r="F105" s="37">
        <v>1000</v>
      </c>
      <c r="G105" s="37">
        <v>1100</v>
      </c>
      <c r="H105" s="37">
        <v>1100</v>
      </c>
    </row>
    <row r="106" spans="1:8" s="195" customFormat="1" ht="24" x14ac:dyDescent="0.2">
      <c r="A106" s="50" t="s">
        <v>225</v>
      </c>
      <c r="B106" s="30" t="s">
        <v>173</v>
      </c>
      <c r="C106" s="30" t="s">
        <v>216</v>
      </c>
      <c r="D106" s="51" t="s">
        <v>226</v>
      </c>
      <c r="E106" s="48"/>
      <c r="F106" s="31">
        <f>F107</f>
        <v>3090</v>
      </c>
      <c r="G106" s="31">
        <f t="shared" ref="G106:H107" si="22">G107</f>
        <v>2910</v>
      </c>
      <c r="H106" s="31">
        <f t="shared" si="22"/>
        <v>4961</v>
      </c>
    </row>
    <row r="107" spans="1:8" s="195" customFormat="1" ht="12" x14ac:dyDescent="0.2">
      <c r="A107" s="35" t="s">
        <v>195</v>
      </c>
      <c r="B107" s="36" t="s">
        <v>173</v>
      </c>
      <c r="C107" s="36" t="s">
        <v>216</v>
      </c>
      <c r="D107" s="44" t="s">
        <v>226</v>
      </c>
      <c r="E107" s="48">
        <v>200</v>
      </c>
      <c r="F107" s="37">
        <f>F108</f>
        <v>3090</v>
      </c>
      <c r="G107" s="37">
        <f t="shared" si="22"/>
        <v>2910</v>
      </c>
      <c r="H107" s="37">
        <f t="shared" si="22"/>
        <v>4961</v>
      </c>
    </row>
    <row r="108" spans="1:8" s="195" customFormat="1" ht="12" x14ac:dyDescent="0.2">
      <c r="A108" s="35" t="s">
        <v>197</v>
      </c>
      <c r="B108" s="36" t="s">
        <v>173</v>
      </c>
      <c r="C108" s="36" t="s">
        <v>216</v>
      </c>
      <c r="D108" s="44" t="s">
        <v>226</v>
      </c>
      <c r="E108" s="48">
        <v>240</v>
      </c>
      <c r="F108" s="37">
        <f>4050-1200+240</f>
        <v>3090</v>
      </c>
      <c r="G108" s="37">
        <f>4510-1600</f>
        <v>2910</v>
      </c>
      <c r="H108" s="37">
        <v>4961</v>
      </c>
    </row>
    <row r="109" spans="1:8" s="195" customFormat="1" ht="24" x14ac:dyDescent="0.2">
      <c r="A109" s="50" t="s">
        <v>227</v>
      </c>
      <c r="B109" s="30" t="s">
        <v>173</v>
      </c>
      <c r="C109" s="30" t="s">
        <v>216</v>
      </c>
      <c r="D109" s="51" t="s">
        <v>228</v>
      </c>
      <c r="E109" s="48"/>
      <c r="F109" s="31">
        <f>F110</f>
        <v>3011</v>
      </c>
      <c r="G109" s="31">
        <f t="shared" ref="G109:H110" si="23">G110</f>
        <v>4430</v>
      </c>
      <c r="H109" s="31">
        <f t="shared" si="23"/>
        <v>3100</v>
      </c>
    </row>
    <row r="110" spans="1:8" s="195" customFormat="1" ht="12" x14ac:dyDescent="0.2">
      <c r="A110" s="35" t="s">
        <v>195</v>
      </c>
      <c r="B110" s="36" t="s">
        <v>173</v>
      </c>
      <c r="C110" s="36" t="s">
        <v>216</v>
      </c>
      <c r="D110" s="44" t="s">
        <v>228</v>
      </c>
      <c r="E110" s="48">
        <v>200</v>
      </c>
      <c r="F110" s="37">
        <f>F111</f>
        <v>3011</v>
      </c>
      <c r="G110" s="37">
        <f t="shared" si="23"/>
        <v>4430</v>
      </c>
      <c r="H110" s="37">
        <f t="shared" si="23"/>
        <v>3100</v>
      </c>
    </row>
    <row r="111" spans="1:8" s="195" customFormat="1" ht="12" x14ac:dyDescent="0.2">
      <c r="A111" s="35" t="s">
        <v>197</v>
      </c>
      <c r="B111" s="36" t="s">
        <v>173</v>
      </c>
      <c r="C111" s="36" t="s">
        <v>216</v>
      </c>
      <c r="D111" s="44" t="s">
        <v>228</v>
      </c>
      <c r="E111" s="48">
        <v>240</v>
      </c>
      <c r="F111" s="37">
        <f>2570+1200-759</f>
        <v>3011</v>
      </c>
      <c r="G111" s="37">
        <f>2830+1600</f>
        <v>4430</v>
      </c>
      <c r="H111" s="37">
        <v>3100</v>
      </c>
    </row>
    <row r="112" spans="1:8" s="195" customFormat="1" ht="12" x14ac:dyDescent="0.2">
      <c r="A112" s="50" t="s">
        <v>229</v>
      </c>
      <c r="B112" s="30" t="s">
        <v>173</v>
      </c>
      <c r="C112" s="30" t="s">
        <v>216</v>
      </c>
      <c r="D112" s="51" t="s">
        <v>230</v>
      </c>
      <c r="E112" s="48"/>
      <c r="F112" s="31">
        <f>F113</f>
        <v>6100</v>
      </c>
      <c r="G112" s="31">
        <f t="shared" ref="G112:H113" si="24">G113</f>
        <v>7000</v>
      </c>
      <c r="H112" s="31">
        <f t="shared" si="24"/>
        <v>7000</v>
      </c>
    </row>
    <row r="113" spans="1:8" s="195" customFormat="1" ht="12" x14ac:dyDescent="0.2">
      <c r="A113" s="35" t="s">
        <v>195</v>
      </c>
      <c r="B113" s="36" t="s">
        <v>173</v>
      </c>
      <c r="C113" s="36" t="s">
        <v>216</v>
      </c>
      <c r="D113" s="44" t="s">
        <v>230</v>
      </c>
      <c r="E113" s="48">
        <v>200</v>
      </c>
      <c r="F113" s="37">
        <f>F114</f>
        <v>6100</v>
      </c>
      <c r="G113" s="37">
        <f t="shared" si="24"/>
        <v>7000</v>
      </c>
      <c r="H113" s="37">
        <f t="shared" si="24"/>
        <v>7000</v>
      </c>
    </row>
    <row r="114" spans="1:8" s="195" customFormat="1" ht="12" x14ac:dyDescent="0.2">
      <c r="A114" s="35" t="s">
        <v>197</v>
      </c>
      <c r="B114" s="36" t="s">
        <v>173</v>
      </c>
      <c r="C114" s="36" t="s">
        <v>216</v>
      </c>
      <c r="D114" s="44" t="s">
        <v>230</v>
      </c>
      <c r="E114" s="48">
        <v>240</v>
      </c>
      <c r="F114" s="37">
        <v>6100</v>
      </c>
      <c r="G114" s="37">
        <v>7000</v>
      </c>
      <c r="H114" s="37">
        <v>7000</v>
      </c>
    </row>
    <row r="115" spans="1:8" s="195" customFormat="1" ht="12" x14ac:dyDescent="0.2">
      <c r="A115" s="50" t="s">
        <v>231</v>
      </c>
      <c r="B115" s="30" t="s">
        <v>173</v>
      </c>
      <c r="C115" s="30" t="s">
        <v>216</v>
      </c>
      <c r="D115" s="51" t="s">
        <v>232</v>
      </c>
      <c r="E115" s="48"/>
      <c r="F115" s="31">
        <f>F116</f>
        <v>42468</v>
      </c>
      <c r="G115" s="31">
        <f t="shared" ref="G115:H116" si="25">G116</f>
        <v>42468</v>
      </c>
      <c r="H115" s="31">
        <f t="shared" si="25"/>
        <v>46700</v>
      </c>
    </row>
    <row r="116" spans="1:8" s="195" customFormat="1" ht="12" x14ac:dyDescent="0.2">
      <c r="A116" s="35" t="s">
        <v>195</v>
      </c>
      <c r="B116" s="36" t="s">
        <v>173</v>
      </c>
      <c r="C116" s="36" t="s">
        <v>216</v>
      </c>
      <c r="D116" s="44" t="s">
        <v>232</v>
      </c>
      <c r="E116" s="48">
        <v>200</v>
      </c>
      <c r="F116" s="37">
        <f>F117</f>
        <v>42468</v>
      </c>
      <c r="G116" s="37">
        <f t="shared" si="25"/>
        <v>42468</v>
      </c>
      <c r="H116" s="37">
        <f t="shared" si="25"/>
        <v>46700</v>
      </c>
    </row>
    <row r="117" spans="1:8" s="195" customFormat="1" ht="12" x14ac:dyDescent="0.2">
      <c r="A117" s="35" t="s">
        <v>197</v>
      </c>
      <c r="B117" s="36" t="s">
        <v>173</v>
      </c>
      <c r="C117" s="36" t="s">
        <v>216</v>
      </c>
      <c r="D117" s="44" t="s">
        <v>232</v>
      </c>
      <c r="E117" s="48">
        <v>240</v>
      </c>
      <c r="F117" s="37">
        <v>42468</v>
      </c>
      <c r="G117" s="37">
        <v>42468</v>
      </c>
      <c r="H117" s="37">
        <v>46700</v>
      </c>
    </row>
    <row r="118" spans="1:8" s="195" customFormat="1" ht="24" x14ac:dyDescent="0.2">
      <c r="A118" s="29" t="s">
        <v>233</v>
      </c>
      <c r="B118" s="30" t="s">
        <v>173</v>
      </c>
      <c r="C118" s="30" t="s">
        <v>216</v>
      </c>
      <c r="D118" s="51" t="s">
        <v>234</v>
      </c>
      <c r="E118" s="48"/>
      <c r="F118" s="31">
        <f>F119</f>
        <v>22219</v>
      </c>
      <c r="G118" s="31">
        <f t="shared" ref="G118:H119" si="26">G119</f>
        <v>21700</v>
      </c>
      <c r="H118" s="31">
        <f t="shared" si="26"/>
        <v>18870</v>
      </c>
    </row>
    <row r="119" spans="1:8" s="195" customFormat="1" ht="12" x14ac:dyDescent="0.2">
      <c r="A119" s="35" t="s">
        <v>195</v>
      </c>
      <c r="B119" s="36" t="s">
        <v>173</v>
      </c>
      <c r="C119" s="36" t="s">
        <v>216</v>
      </c>
      <c r="D119" s="44" t="s">
        <v>234</v>
      </c>
      <c r="E119" s="48">
        <v>200</v>
      </c>
      <c r="F119" s="37">
        <f>F120</f>
        <v>22219</v>
      </c>
      <c r="G119" s="37">
        <f t="shared" si="26"/>
        <v>21700</v>
      </c>
      <c r="H119" s="37">
        <f t="shared" si="26"/>
        <v>18870</v>
      </c>
    </row>
    <row r="120" spans="1:8" s="195" customFormat="1" ht="12" x14ac:dyDescent="0.2">
      <c r="A120" s="35" t="s">
        <v>197</v>
      </c>
      <c r="B120" s="36" t="s">
        <v>173</v>
      </c>
      <c r="C120" s="36" t="s">
        <v>216</v>
      </c>
      <c r="D120" s="44" t="s">
        <v>234</v>
      </c>
      <c r="E120" s="48">
        <v>240</v>
      </c>
      <c r="F120" s="37">
        <f>21700+519</f>
        <v>22219</v>
      </c>
      <c r="G120" s="37">
        <v>21700</v>
      </c>
      <c r="H120" s="37">
        <f>23870-5000</f>
        <v>18870</v>
      </c>
    </row>
    <row r="121" spans="1:8" s="195" customFormat="1" ht="12" x14ac:dyDescent="0.2">
      <c r="A121" s="39" t="s">
        <v>235</v>
      </c>
      <c r="B121" s="40" t="s">
        <v>173</v>
      </c>
      <c r="C121" s="40" t="s">
        <v>216</v>
      </c>
      <c r="D121" s="43" t="s">
        <v>236</v>
      </c>
      <c r="E121" s="56"/>
      <c r="F121" s="41">
        <f>F122+F125+F128</f>
        <v>2050</v>
      </c>
      <c r="G121" s="41">
        <f>G122+G125+G128</f>
        <v>11050</v>
      </c>
      <c r="H121" s="41">
        <f>H122+H125+H128</f>
        <v>6050</v>
      </c>
    </row>
    <row r="122" spans="1:8" s="195" customFormat="1" ht="12" x14ac:dyDescent="0.2">
      <c r="A122" s="29" t="s">
        <v>237</v>
      </c>
      <c r="B122" s="30" t="s">
        <v>173</v>
      </c>
      <c r="C122" s="30" t="s">
        <v>216</v>
      </c>
      <c r="D122" s="30" t="s">
        <v>238</v>
      </c>
      <c r="E122" s="55"/>
      <c r="F122" s="31">
        <f>F123</f>
        <v>50</v>
      </c>
      <c r="G122" s="31">
        <f t="shared" ref="G122:H123" si="27">G123</f>
        <v>50</v>
      </c>
      <c r="H122" s="31">
        <f t="shared" si="27"/>
        <v>50</v>
      </c>
    </row>
    <row r="123" spans="1:8" s="195" customFormat="1" ht="12" x14ac:dyDescent="0.2">
      <c r="A123" s="35" t="s">
        <v>195</v>
      </c>
      <c r="B123" s="36" t="s">
        <v>173</v>
      </c>
      <c r="C123" s="36" t="s">
        <v>216</v>
      </c>
      <c r="D123" s="44" t="s">
        <v>238</v>
      </c>
      <c r="E123" s="48">
        <v>200</v>
      </c>
      <c r="F123" s="37">
        <f>F124</f>
        <v>50</v>
      </c>
      <c r="G123" s="37">
        <f t="shared" si="27"/>
        <v>50</v>
      </c>
      <c r="H123" s="37">
        <f t="shared" si="27"/>
        <v>50</v>
      </c>
    </row>
    <row r="124" spans="1:8" s="195" customFormat="1" ht="12" x14ac:dyDescent="0.2">
      <c r="A124" s="35" t="s">
        <v>197</v>
      </c>
      <c r="B124" s="36" t="s">
        <v>173</v>
      </c>
      <c r="C124" s="36" t="s">
        <v>216</v>
      </c>
      <c r="D124" s="44" t="s">
        <v>238</v>
      </c>
      <c r="E124" s="48">
        <v>240</v>
      </c>
      <c r="F124" s="37">
        <v>50</v>
      </c>
      <c r="G124" s="37">
        <v>50</v>
      </c>
      <c r="H124" s="37">
        <v>50</v>
      </c>
    </row>
    <row r="125" spans="1:8" s="195" customFormat="1" ht="12" x14ac:dyDescent="0.2">
      <c r="A125" s="29" t="s">
        <v>239</v>
      </c>
      <c r="B125" s="30" t="s">
        <v>173</v>
      </c>
      <c r="C125" s="30" t="s">
        <v>216</v>
      </c>
      <c r="D125" s="51" t="s">
        <v>240</v>
      </c>
      <c r="E125" s="55"/>
      <c r="F125" s="31">
        <f>F126</f>
        <v>2000</v>
      </c>
      <c r="G125" s="31">
        <f t="shared" ref="G125:H126" si="28">G126</f>
        <v>10000</v>
      </c>
      <c r="H125" s="31">
        <f t="shared" si="28"/>
        <v>5000</v>
      </c>
    </row>
    <row r="126" spans="1:8" s="195" customFormat="1" ht="12" x14ac:dyDescent="0.2">
      <c r="A126" s="35" t="s">
        <v>195</v>
      </c>
      <c r="B126" s="36" t="s">
        <v>173</v>
      </c>
      <c r="C126" s="36" t="s">
        <v>216</v>
      </c>
      <c r="D126" s="44" t="s">
        <v>240</v>
      </c>
      <c r="E126" s="48">
        <v>200</v>
      </c>
      <c r="F126" s="37">
        <f>F127</f>
        <v>2000</v>
      </c>
      <c r="G126" s="37">
        <f t="shared" si="28"/>
        <v>10000</v>
      </c>
      <c r="H126" s="37">
        <f t="shared" si="28"/>
        <v>5000</v>
      </c>
    </row>
    <row r="127" spans="1:8" s="195" customFormat="1" ht="12" x14ac:dyDescent="0.2">
      <c r="A127" s="35" t="s">
        <v>197</v>
      </c>
      <c r="B127" s="36" t="s">
        <v>173</v>
      </c>
      <c r="C127" s="36" t="s">
        <v>216</v>
      </c>
      <c r="D127" s="44" t="s">
        <v>240</v>
      </c>
      <c r="E127" s="48">
        <v>240</v>
      </c>
      <c r="F127" s="37">
        <v>2000</v>
      </c>
      <c r="G127" s="37">
        <v>10000</v>
      </c>
      <c r="H127" s="37">
        <v>5000</v>
      </c>
    </row>
    <row r="128" spans="1:8" s="195" customFormat="1" ht="12" x14ac:dyDescent="0.2">
      <c r="A128" s="29" t="s">
        <v>241</v>
      </c>
      <c r="B128" s="30" t="s">
        <v>173</v>
      </c>
      <c r="C128" s="30" t="s">
        <v>216</v>
      </c>
      <c r="D128" s="51" t="s">
        <v>242</v>
      </c>
      <c r="E128" s="55"/>
      <c r="F128" s="45">
        <f>F129</f>
        <v>0</v>
      </c>
      <c r="G128" s="31">
        <f t="shared" ref="G128:H129" si="29">G129</f>
        <v>1000</v>
      </c>
      <c r="H128" s="31">
        <f t="shared" si="29"/>
        <v>1000</v>
      </c>
    </row>
    <row r="129" spans="1:8" s="195" customFormat="1" ht="12" x14ac:dyDescent="0.2">
      <c r="A129" s="35" t="s">
        <v>195</v>
      </c>
      <c r="B129" s="36" t="s">
        <v>173</v>
      </c>
      <c r="C129" s="36" t="s">
        <v>216</v>
      </c>
      <c r="D129" s="44" t="s">
        <v>242</v>
      </c>
      <c r="E129" s="48">
        <v>200</v>
      </c>
      <c r="F129" s="46">
        <f>F130</f>
        <v>0</v>
      </c>
      <c r="G129" s="37">
        <f t="shared" si="29"/>
        <v>1000</v>
      </c>
      <c r="H129" s="37">
        <f t="shared" si="29"/>
        <v>1000</v>
      </c>
    </row>
    <row r="130" spans="1:8" s="195" customFormat="1" ht="12" x14ac:dyDescent="0.2">
      <c r="A130" s="35" t="s">
        <v>197</v>
      </c>
      <c r="B130" s="36" t="s">
        <v>173</v>
      </c>
      <c r="C130" s="36" t="s">
        <v>216</v>
      </c>
      <c r="D130" s="44" t="s">
        <v>242</v>
      </c>
      <c r="E130" s="48">
        <v>240</v>
      </c>
      <c r="F130" s="46">
        <v>0</v>
      </c>
      <c r="G130" s="37">
        <v>1000</v>
      </c>
      <c r="H130" s="37">
        <v>1000</v>
      </c>
    </row>
    <row r="131" spans="1:8" s="195" customFormat="1" ht="24" x14ac:dyDescent="0.2">
      <c r="A131" s="39" t="s">
        <v>243</v>
      </c>
      <c r="B131" s="40" t="s">
        <v>173</v>
      </c>
      <c r="C131" s="40" t="s">
        <v>216</v>
      </c>
      <c r="D131" s="43" t="s">
        <v>244</v>
      </c>
      <c r="E131" s="56"/>
      <c r="F131" s="41">
        <f>F132</f>
        <v>860</v>
      </c>
      <c r="G131" s="47">
        <f t="shared" ref="G131:H134" si="30">G132</f>
        <v>0</v>
      </c>
      <c r="H131" s="47">
        <f t="shared" si="30"/>
        <v>0</v>
      </c>
    </row>
    <row r="132" spans="1:8" s="195" customFormat="1" ht="24" x14ac:dyDescent="0.2">
      <c r="A132" s="39" t="s">
        <v>245</v>
      </c>
      <c r="B132" s="40" t="s">
        <v>173</v>
      </c>
      <c r="C132" s="40" t="s">
        <v>216</v>
      </c>
      <c r="D132" s="43" t="s">
        <v>246</v>
      </c>
      <c r="E132" s="56"/>
      <c r="F132" s="41">
        <f>F133</f>
        <v>860</v>
      </c>
      <c r="G132" s="47">
        <f t="shared" si="30"/>
        <v>0</v>
      </c>
      <c r="H132" s="47">
        <f t="shared" si="30"/>
        <v>0</v>
      </c>
    </row>
    <row r="133" spans="1:8" s="195" customFormat="1" ht="24" x14ac:dyDescent="0.2">
      <c r="A133" s="29" t="s">
        <v>247</v>
      </c>
      <c r="B133" s="30" t="s">
        <v>173</v>
      </c>
      <c r="C133" s="30" t="s">
        <v>216</v>
      </c>
      <c r="D133" s="51" t="s">
        <v>248</v>
      </c>
      <c r="E133" s="55"/>
      <c r="F133" s="31">
        <f>F134</f>
        <v>860</v>
      </c>
      <c r="G133" s="45">
        <f t="shared" si="30"/>
        <v>0</v>
      </c>
      <c r="H133" s="45">
        <f t="shared" si="30"/>
        <v>0</v>
      </c>
    </row>
    <row r="134" spans="1:8" s="195" customFormat="1" ht="12" x14ac:dyDescent="0.2">
      <c r="A134" s="35" t="s">
        <v>195</v>
      </c>
      <c r="B134" s="36" t="s">
        <v>173</v>
      </c>
      <c r="C134" s="36" t="s">
        <v>216</v>
      </c>
      <c r="D134" s="44" t="s">
        <v>248</v>
      </c>
      <c r="E134" s="48">
        <v>200</v>
      </c>
      <c r="F134" s="37">
        <f>F135</f>
        <v>860</v>
      </c>
      <c r="G134" s="46">
        <f t="shared" si="30"/>
        <v>0</v>
      </c>
      <c r="H134" s="46">
        <f t="shared" si="30"/>
        <v>0</v>
      </c>
    </row>
    <row r="135" spans="1:8" s="195" customFormat="1" ht="12" x14ac:dyDescent="0.2">
      <c r="A135" s="35" t="s">
        <v>197</v>
      </c>
      <c r="B135" s="36" t="s">
        <v>173</v>
      </c>
      <c r="C135" s="36" t="s">
        <v>216</v>
      </c>
      <c r="D135" s="44" t="s">
        <v>248</v>
      </c>
      <c r="E135" s="48">
        <v>240</v>
      </c>
      <c r="F135" s="37">
        <v>860</v>
      </c>
      <c r="G135" s="46">
        <v>0</v>
      </c>
      <c r="H135" s="46">
        <v>0</v>
      </c>
    </row>
    <row r="136" spans="1:8" s="195" customFormat="1" ht="12" x14ac:dyDescent="0.2">
      <c r="A136" s="39" t="s">
        <v>249</v>
      </c>
      <c r="B136" s="40" t="s">
        <v>173</v>
      </c>
      <c r="C136" s="40" t="s">
        <v>216</v>
      </c>
      <c r="D136" s="202" t="s">
        <v>250</v>
      </c>
      <c r="E136" s="56"/>
      <c r="F136" s="41">
        <f>F137+F141+F145</f>
        <v>1200</v>
      </c>
      <c r="G136" s="41">
        <f>G137+G141+G145</f>
        <v>1200</v>
      </c>
      <c r="H136" s="41">
        <f>H137+H141+H145</f>
        <v>1200</v>
      </c>
    </row>
    <row r="137" spans="1:8" s="195" customFormat="1" ht="24" x14ac:dyDescent="0.2">
      <c r="A137" s="39" t="s">
        <v>251</v>
      </c>
      <c r="B137" s="40" t="s">
        <v>173</v>
      </c>
      <c r="C137" s="40" t="s">
        <v>216</v>
      </c>
      <c r="D137" s="43" t="s">
        <v>252</v>
      </c>
      <c r="E137" s="56"/>
      <c r="F137" s="41">
        <f>F138</f>
        <v>800</v>
      </c>
      <c r="G137" s="41">
        <f t="shared" ref="G137:H139" si="31">G138</f>
        <v>800</v>
      </c>
      <c r="H137" s="41">
        <f t="shared" si="31"/>
        <v>800</v>
      </c>
    </row>
    <row r="138" spans="1:8" s="195" customFormat="1" ht="12" x14ac:dyDescent="0.2">
      <c r="A138" s="29" t="s">
        <v>253</v>
      </c>
      <c r="B138" s="30" t="s">
        <v>173</v>
      </c>
      <c r="C138" s="30" t="s">
        <v>216</v>
      </c>
      <c r="D138" s="51" t="s">
        <v>254</v>
      </c>
      <c r="E138" s="48"/>
      <c r="F138" s="31">
        <f>F139</f>
        <v>800</v>
      </c>
      <c r="G138" s="31">
        <f t="shared" si="31"/>
        <v>800</v>
      </c>
      <c r="H138" s="31">
        <f t="shared" si="31"/>
        <v>800</v>
      </c>
    </row>
    <row r="139" spans="1:8" s="195" customFormat="1" ht="12" x14ac:dyDescent="0.2">
      <c r="A139" s="35" t="s">
        <v>195</v>
      </c>
      <c r="B139" s="36" t="s">
        <v>173</v>
      </c>
      <c r="C139" s="36" t="s">
        <v>216</v>
      </c>
      <c r="D139" s="44" t="s">
        <v>254</v>
      </c>
      <c r="E139" s="48">
        <v>200</v>
      </c>
      <c r="F139" s="37">
        <f>F140</f>
        <v>800</v>
      </c>
      <c r="G139" s="37">
        <f t="shared" si="31"/>
        <v>800</v>
      </c>
      <c r="H139" s="37">
        <f t="shared" si="31"/>
        <v>800</v>
      </c>
    </row>
    <row r="140" spans="1:8" s="195" customFormat="1" ht="12" x14ac:dyDescent="0.2">
      <c r="A140" s="35" t="s">
        <v>197</v>
      </c>
      <c r="B140" s="36" t="s">
        <v>173</v>
      </c>
      <c r="C140" s="36" t="s">
        <v>216</v>
      </c>
      <c r="D140" s="44" t="s">
        <v>254</v>
      </c>
      <c r="E140" s="48">
        <v>240</v>
      </c>
      <c r="F140" s="37">
        <v>800</v>
      </c>
      <c r="G140" s="37">
        <v>800</v>
      </c>
      <c r="H140" s="37">
        <v>800</v>
      </c>
    </row>
    <row r="141" spans="1:8" s="195" customFormat="1" ht="24" x14ac:dyDescent="0.2">
      <c r="A141" s="39" t="s">
        <v>255</v>
      </c>
      <c r="B141" s="40" t="s">
        <v>173</v>
      </c>
      <c r="C141" s="40" t="s">
        <v>216</v>
      </c>
      <c r="D141" s="202" t="s">
        <v>256</v>
      </c>
      <c r="E141" s="56"/>
      <c r="F141" s="41">
        <f>F142</f>
        <v>250</v>
      </c>
      <c r="G141" s="41">
        <f t="shared" ref="G141:H143" si="32">G142</f>
        <v>250</v>
      </c>
      <c r="H141" s="41">
        <f t="shared" si="32"/>
        <v>250</v>
      </c>
    </row>
    <row r="142" spans="1:8" s="195" customFormat="1" ht="24" x14ac:dyDescent="0.2">
      <c r="A142" s="29" t="s">
        <v>257</v>
      </c>
      <c r="B142" s="30" t="s">
        <v>173</v>
      </c>
      <c r="C142" s="30" t="s">
        <v>216</v>
      </c>
      <c r="D142" s="51" t="s">
        <v>258</v>
      </c>
      <c r="E142" s="48"/>
      <c r="F142" s="31">
        <f>F143</f>
        <v>250</v>
      </c>
      <c r="G142" s="31">
        <f t="shared" si="32"/>
        <v>250</v>
      </c>
      <c r="H142" s="31">
        <f t="shared" si="32"/>
        <v>250</v>
      </c>
    </row>
    <row r="143" spans="1:8" s="195" customFormat="1" ht="12" x14ac:dyDescent="0.2">
      <c r="A143" s="35" t="s">
        <v>195</v>
      </c>
      <c r="B143" s="36" t="s">
        <v>173</v>
      </c>
      <c r="C143" s="36" t="s">
        <v>216</v>
      </c>
      <c r="D143" s="44" t="s">
        <v>258</v>
      </c>
      <c r="E143" s="48">
        <v>200</v>
      </c>
      <c r="F143" s="37">
        <f>F144</f>
        <v>250</v>
      </c>
      <c r="G143" s="37">
        <f t="shared" si="32"/>
        <v>250</v>
      </c>
      <c r="H143" s="37">
        <f t="shared" si="32"/>
        <v>250</v>
      </c>
    </row>
    <row r="144" spans="1:8" s="195" customFormat="1" ht="12" x14ac:dyDescent="0.2">
      <c r="A144" s="35" t="s">
        <v>197</v>
      </c>
      <c r="B144" s="36" t="s">
        <v>173</v>
      </c>
      <c r="C144" s="36" t="s">
        <v>216</v>
      </c>
      <c r="D144" s="44" t="s">
        <v>258</v>
      </c>
      <c r="E144" s="48">
        <v>240</v>
      </c>
      <c r="F144" s="37">
        <v>250</v>
      </c>
      <c r="G144" s="37">
        <v>250</v>
      </c>
      <c r="H144" s="37">
        <v>250</v>
      </c>
    </row>
    <row r="145" spans="1:8" s="195" customFormat="1" ht="24" x14ac:dyDescent="0.2">
      <c r="A145" s="39" t="s">
        <v>259</v>
      </c>
      <c r="B145" s="40" t="s">
        <v>173</v>
      </c>
      <c r="C145" s="40" t="s">
        <v>216</v>
      </c>
      <c r="D145" s="202" t="s">
        <v>260</v>
      </c>
      <c r="E145" s="56"/>
      <c r="F145" s="41">
        <f>F146</f>
        <v>150</v>
      </c>
      <c r="G145" s="41">
        <f t="shared" ref="G145:H147" si="33">G146</f>
        <v>150</v>
      </c>
      <c r="H145" s="41">
        <f t="shared" si="33"/>
        <v>150</v>
      </c>
    </row>
    <row r="146" spans="1:8" s="195" customFormat="1" ht="48" x14ac:dyDescent="0.2">
      <c r="A146" s="29" t="s">
        <v>261</v>
      </c>
      <c r="B146" s="30" t="s">
        <v>173</v>
      </c>
      <c r="C146" s="30" t="s">
        <v>216</v>
      </c>
      <c r="D146" s="51" t="s">
        <v>262</v>
      </c>
      <c r="E146" s="48"/>
      <c r="F146" s="31">
        <f>F147</f>
        <v>150</v>
      </c>
      <c r="G146" s="31">
        <f t="shared" si="33"/>
        <v>150</v>
      </c>
      <c r="H146" s="31">
        <f t="shared" si="33"/>
        <v>150</v>
      </c>
    </row>
    <row r="147" spans="1:8" s="195" customFormat="1" ht="12" x14ac:dyDescent="0.2">
      <c r="A147" s="35" t="s">
        <v>195</v>
      </c>
      <c r="B147" s="36" t="s">
        <v>173</v>
      </c>
      <c r="C147" s="36" t="s">
        <v>216</v>
      </c>
      <c r="D147" s="44" t="s">
        <v>262</v>
      </c>
      <c r="E147" s="48">
        <v>200</v>
      </c>
      <c r="F147" s="37">
        <f>F148</f>
        <v>150</v>
      </c>
      <c r="G147" s="37">
        <f t="shared" si="33"/>
        <v>150</v>
      </c>
      <c r="H147" s="37">
        <f t="shared" si="33"/>
        <v>150</v>
      </c>
    </row>
    <row r="148" spans="1:8" s="195" customFormat="1" ht="12" x14ac:dyDescent="0.2">
      <c r="A148" s="35" t="s">
        <v>197</v>
      </c>
      <c r="B148" s="36" t="s">
        <v>173</v>
      </c>
      <c r="C148" s="36" t="s">
        <v>216</v>
      </c>
      <c r="D148" s="44" t="s">
        <v>262</v>
      </c>
      <c r="E148" s="48">
        <v>240</v>
      </c>
      <c r="F148" s="37">
        <v>150</v>
      </c>
      <c r="G148" s="37">
        <v>150</v>
      </c>
      <c r="H148" s="37">
        <v>150</v>
      </c>
    </row>
    <row r="149" spans="1:8" s="195" customFormat="1" ht="12" x14ac:dyDescent="0.2">
      <c r="A149" s="39" t="s">
        <v>178</v>
      </c>
      <c r="B149" s="40" t="s">
        <v>173</v>
      </c>
      <c r="C149" s="40" t="s">
        <v>216</v>
      </c>
      <c r="D149" s="40" t="s">
        <v>189</v>
      </c>
      <c r="E149" s="40"/>
      <c r="F149" s="41">
        <f>F150</f>
        <v>118506.35369</v>
      </c>
      <c r="G149" s="41">
        <f t="shared" ref="G149:H149" si="34">G150</f>
        <v>88108.2</v>
      </c>
      <c r="H149" s="41">
        <f t="shared" si="34"/>
        <v>103208</v>
      </c>
    </row>
    <row r="150" spans="1:8" s="195" customFormat="1" ht="12" x14ac:dyDescent="0.2">
      <c r="A150" s="29" t="s">
        <v>180</v>
      </c>
      <c r="B150" s="30" t="s">
        <v>173</v>
      </c>
      <c r="C150" s="30" t="s">
        <v>216</v>
      </c>
      <c r="D150" s="30" t="s">
        <v>190</v>
      </c>
      <c r="E150" s="30"/>
      <c r="F150" s="31">
        <f>F151+F166+F170+F173+F176+F179+F182+F185</f>
        <v>118506.35369</v>
      </c>
      <c r="G150" s="31">
        <f>G151+G166+G170+G173+G176+G179+G182+G185</f>
        <v>88108.2</v>
      </c>
      <c r="H150" s="31">
        <f>H151+H166+H170+H173+H176+H179+H182+H185</f>
        <v>103208</v>
      </c>
    </row>
    <row r="151" spans="1:8" s="195" customFormat="1" ht="12" x14ac:dyDescent="0.2">
      <c r="A151" s="52" t="s">
        <v>263</v>
      </c>
      <c r="B151" s="49" t="s">
        <v>173</v>
      </c>
      <c r="C151" s="49" t="s">
        <v>216</v>
      </c>
      <c r="D151" s="49" t="s">
        <v>190</v>
      </c>
      <c r="E151" s="40"/>
      <c r="F151" s="53">
        <f>F152+F159</f>
        <v>103124.83900000001</v>
      </c>
      <c r="G151" s="53">
        <f>G152+G159</f>
        <v>83113.2</v>
      </c>
      <c r="H151" s="53">
        <f>H152+H159</f>
        <v>98113.2</v>
      </c>
    </row>
    <row r="152" spans="1:8" s="195" customFormat="1" ht="12" x14ac:dyDescent="0.2">
      <c r="A152" s="29" t="s">
        <v>264</v>
      </c>
      <c r="B152" s="30" t="s">
        <v>173</v>
      </c>
      <c r="C152" s="30" t="s">
        <v>216</v>
      </c>
      <c r="D152" s="30" t="s">
        <v>265</v>
      </c>
      <c r="E152" s="30"/>
      <c r="F152" s="31">
        <f>F153+F155+F157</f>
        <v>91244.578000000009</v>
      </c>
      <c r="G152" s="31">
        <f>G153+G155+G157</f>
        <v>73071.8</v>
      </c>
      <c r="H152" s="31">
        <f>H153+H155+H157</f>
        <v>88071.8</v>
      </c>
    </row>
    <row r="153" spans="1:8" s="195" customFormat="1" ht="24" x14ac:dyDescent="0.2">
      <c r="A153" s="35" t="s">
        <v>185</v>
      </c>
      <c r="B153" s="36" t="s">
        <v>173</v>
      </c>
      <c r="C153" s="36" t="s">
        <v>216</v>
      </c>
      <c r="D153" s="36" t="s">
        <v>265</v>
      </c>
      <c r="E153" s="36" t="s">
        <v>186</v>
      </c>
      <c r="F153" s="37">
        <f>F154</f>
        <v>47624.578000000001</v>
      </c>
      <c r="G153" s="37">
        <f t="shared" ref="G153:H153" si="35">G154</f>
        <v>44851.8</v>
      </c>
      <c r="H153" s="37">
        <f t="shared" si="35"/>
        <v>44851.8</v>
      </c>
    </row>
    <row r="154" spans="1:8" s="195" customFormat="1" ht="12" x14ac:dyDescent="0.2">
      <c r="A154" s="35" t="s">
        <v>266</v>
      </c>
      <c r="B154" s="36" t="s">
        <v>173</v>
      </c>
      <c r="C154" s="36" t="s">
        <v>216</v>
      </c>
      <c r="D154" s="36" t="s">
        <v>265</v>
      </c>
      <c r="E154" s="36" t="s">
        <v>267</v>
      </c>
      <c r="F154" s="37">
        <f>34348.4+100+10403.4+2772.778</f>
        <v>47624.578000000001</v>
      </c>
      <c r="G154" s="37">
        <f t="shared" ref="G154:H154" si="36">34348.4+100+10403.4</f>
        <v>44851.8</v>
      </c>
      <c r="H154" s="37">
        <f t="shared" si="36"/>
        <v>44851.8</v>
      </c>
    </row>
    <row r="155" spans="1:8" s="195" customFormat="1" ht="12" x14ac:dyDescent="0.2">
      <c r="A155" s="35" t="s">
        <v>195</v>
      </c>
      <c r="B155" s="36" t="s">
        <v>173</v>
      </c>
      <c r="C155" s="36" t="s">
        <v>216</v>
      </c>
      <c r="D155" s="36" t="s">
        <v>265</v>
      </c>
      <c r="E155" s="36" t="s">
        <v>196</v>
      </c>
      <c r="F155" s="37">
        <f>F156</f>
        <v>43370</v>
      </c>
      <c r="G155" s="37">
        <f t="shared" ref="G155:H155" si="37">G156</f>
        <v>27970</v>
      </c>
      <c r="H155" s="37">
        <f t="shared" si="37"/>
        <v>42970</v>
      </c>
    </row>
    <row r="156" spans="1:8" s="195" customFormat="1" ht="12" x14ac:dyDescent="0.2">
      <c r="A156" s="35" t="s">
        <v>197</v>
      </c>
      <c r="B156" s="36" t="s">
        <v>173</v>
      </c>
      <c r="C156" s="36" t="s">
        <v>216</v>
      </c>
      <c r="D156" s="36" t="s">
        <v>265</v>
      </c>
      <c r="E156" s="36" t="s">
        <v>198</v>
      </c>
      <c r="F156" s="37">
        <f>150+5000+11545+400+16725+5000+4150+400</f>
        <v>43370</v>
      </c>
      <c r="G156" s="37">
        <f>150+5000+11545+400+16725+5000+4150-15000</f>
        <v>27970</v>
      </c>
      <c r="H156" s="37">
        <f>150+5000+11545+400+16725+5000+4150</f>
        <v>42970</v>
      </c>
    </row>
    <row r="157" spans="1:8" s="195" customFormat="1" ht="12" x14ac:dyDescent="0.2">
      <c r="A157" s="35" t="s">
        <v>199</v>
      </c>
      <c r="B157" s="36" t="s">
        <v>173</v>
      </c>
      <c r="C157" s="36" t="s">
        <v>216</v>
      </c>
      <c r="D157" s="36" t="s">
        <v>265</v>
      </c>
      <c r="E157" s="36" t="s">
        <v>200</v>
      </c>
      <c r="F157" s="37">
        <f>F158</f>
        <v>250</v>
      </c>
      <c r="G157" s="37">
        <f t="shared" ref="G157:H157" si="38">G158</f>
        <v>250</v>
      </c>
      <c r="H157" s="37">
        <f t="shared" si="38"/>
        <v>250</v>
      </c>
    </row>
    <row r="158" spans="1:8" s="195" customFormat="1" ht="12" x14ac:dyDescent="0.2">
      <c r="A158" s="35" t="s">
        <v>201</v>
      </c>
      <c r="B158" s="36" t="s">
        <v>173</v>
      </c>
      <c r="C158" s="36" t="s">
        <v>216</v>
      </c>
      <c r="D158" s="36" t="s">
        <v>265</v>
      </c>
      <c r="E158" s="36" t="s">
        <v>202</v>
      </c>
      <c r="F158" s="37">
        <v>250</v>
      </c>
      <c r="G158" s="37">
        <v>250</v>
      </c>
      <c r="H158" s="37">
        <v>250</v>
      </c>
    </row>
    <row r="159" spans="1:8" s="195" customFormat="1" ht="12" x14ac:dyDescent="0.2">
      <c r="A159" s="29" t="s">
        <v>268</v>
      </c>
      <c r="B159" s="30" t="s">
        <v>173</v>
      </c>
      <c r="C159" s="30" t="s">
        <v>216</v>
      </c>
      <c r="D159" s="30" t="s">
        <v>269</v>
      </c>
      <c r="E159" s="30"/>
      <c r="F159" s="31">
        <f>F160+F162+F164</f>
        <v>11880.261</v>
      </c>
      <c r="G159" s="31">
        <f>G160+G162+G164</f>
        <v>10041.4</v>
      </c>
      <c r="H159" s="31">
        <f>H160+H162+H164</f>
        <v>10041.4</v>
      </c>
    </row>
    <row r="160" spans="1:8" s="195" customFormat="1" ht="24" x14ac:dyDescent="0.2">
      <c r="A160" s="35" t="s">
        <v>185</v>
      </c>
      <c r="B160" s="36" t="s">
        <v>173</v>
      </c>
      <c r="C160" s="36" t="s">
        <v>216</v>
      </c>
      <c r="D160" s="36" t="s">
        <v>269</v>
      </c>
      <c r="E160" s="36" t="s">
        <v>186</v>
      </c>
      <c r="F160" s="37">
        <f>F161</f>
        <v>11140.261</v>
      </c>
      <c r="G160" s="37">
        <f t="shared" ref="G160:H160" si="39">G161</f>
        <v>9301.4</v>
      </c>
      <c r="H160" s="37">
        <f t="shared" si="39"/>
        <v>9301.4</v>
      </c>
    </row>
    <row r="161" spans="1:8" s="195" customFormat="1" ht="12" x14ac:dyDescent="0.2">
      <c r="A161" s="35" t="s">
        <v>266</v>
      </c>
      <c r="B161" s="36" t="s">
        <v>173</v>
      </c>
      <c r="C161" s="36" t="s">
        <v>216</v>
      </c>
      <c r="D161" s="36" t="s">
        <v>269</v>
      </c>
      <c r="E161" s="36" t="s">
        <v>267</v>
      </c>
      <c r="F161" s="37">
        <f>6914.9+25.5+2096+30+235+1838.861</f>
        <v>11140.261</v>
      </c>
      <c r="G161" s="37">
        <f t="shared" ref="G161:H161" si="40">6914.9+25.5+2096+30+235</f>
        <v>9301.4</v>
      </c>
      <c r="H161" s="37">
        <f t="shared" si="40"/>
        <v>9301.4</v>
      </c>
    </row>
    <row r="162" spans="1:8" s="195" customFormat="1" ht="12" x14ac:dyDescent="0.2">
      <c r="A162" s="35" t="s">
        <v>195</v>
      </c>
      <c r="B162" s="36" t="s">
        <v>173</v>
      </c>
      <c r="C162" s="36" t="s">
        <v>216</v>
      </c>
      <c r="D162" s="36" t="s">
        <v>269</v>
      </c>
      <c r="E162" s="36" t="s">
        <v>196</v>
      </c>
      <c r="F162" s="37">
        <f>F163</f>
        <v>725</v>
      </c>
      <c r="G162" s="37">
        <f t="shared" ref="G162:H162" si="41">G163</f>
        <v>725</v>
      </c>
      <c r="H162" s="37">
        <f t="shared" si="41"/>
        <v>725</v>
      </c>
    </row>
    <row r="163" spans="1:8" s="195" customFormat="1" ht="12" x14ac:dyDescent="0.2">
      <c r="A163" s="35" t="s">
        <v>197</v>
      </c>
      <c r="B163" s="36" t="s">
        <v>173</v>
      </c>
      <c r="C163" s="36" t="s">
        <v>216</v>
      </c>
      <c r="D163" s="36" t="s">
        <v>269</v>
      </c>
      <c r="E163" s="36" t="s">
        <v>198</v>
      </c>
      <c r="F163" s="37">
        <f>10+60+285+250+120</f>
        <v>725</v>
      </c>
      <c r="G163" s="37">
        <f t="shared" ref="G163:H163" si="42">10+60+285+250+120</f>
        <v>725</v>
      </c>
      <c r="H163" s="37">
        <f t="shared" si="42"/>
        <v>725</v>
      </c>
    </row>
    <row r="164" spans="1:8" s="195" customFormat="1" ht="12" x14ac:dyDescent="0.2">
      <c r="A164" s="35" t="s">
        <v>199</v>
      </c>
      <c r="B164" s="36" t="s">
        <v>173</v>
      </c>
      <c r="C164" s="36" t="s">
        <v>216</v>
      </c>
      <c r="D164" s="36" t="s">
        <v>269</v>
      </c>
      <c r="E164" s="36" t="s">
        <v>200</v>
      </c>
      <c r="F164" s="37">
        <f>F165</f>
        <v>15</v>
      </c>
      <c r="G164" s="37">
        <f t="shared" ref="G164:H164" si="43">G165</f>
        <v>15</v>
      </c>
      <c r="H164" s="37">
        <f t="shared" si="43"/>
        <v>15</v>
      </c>
    </row>
    <row r="165" spans="1:8" s="195" customFormat="1" ht="12" x14ac:dyDescent="0.2">
      <c r="A165" s="35" t="s">
        <v>201</v>
      </c>
      <c r="B165" s="36" t="s">
        <v>173</v>
      </c>
      <c r="C165" s="36" t="s">
        <v>216</v>
      </c>
      <c r="D165" s="36" t="s">
        <v>269</v>
      </c>
      <c r="E165" s="36" t="s">
        <v>202</v>
      </c>
      <c r="F165" s="37">
        <v>15</v>
      </c>
      <c r="G165" s="37">
        <v>15</v>
      </c>
      <c r="H165" s="37">
        <v>15</v>
      </c>
    </row>
    <row r="166" spans="1:8" s="195" customFormat="1" ht="12" x14ac:dyDescent="0.2">
      <c r="A166" s="29" t="s">
        <v>270</v>
      </c>
      <c r="B166" s="30" t="s">
        <v>173</v>
      </c>
      <c r="C166" s="30" t="s">
        <v>216</v>
      </c>
      <c r="D166" s="51" t="s">
        <v>271</v>
      </c>
      <c r="E166" s="30"/>
      <c r="F166" s="31">
        <f>F167</f>
        <v>3691.0459999999998</v>
      </c>
      <c r="G166" s="45">
        <f t="shared" ref="G166:H166" si="44">G167</f>
        <v>0</v>
      </c>
      <c r="H166" s="45">
        <f t="shared" si="44"/>
        <v>0</v>
      </c>
    </row>
    <row r="167" spans="1:8" s="195" customFormat="1" ht="12" x14ac:dyDescent="0.2">
      <c r="A167" s="35" t="s">
        <v>199</v>
      </c>
      <c r="B167" s="36" t="s">
        <v>173</v>
      </c>
      <c r="C167" s="36" t="s">
        <v>216</v>
      </c>
      <c r="D167" s="44" t="s">
        <v>271</v>
      </c>
      <c r="E167" s="36" t="s">
        <v>200</v>
      </c>
      <c r="F167" s="37">
        <f>F168+F169</f>
        <v>3691.0459999999998</v>
      </c>
      <c r="G167" s="46">
        <f>G168+G169</f>
        <v>0</v>
      </c>
      <c r="H167" s="46">
        <f>H168+H169</f>
        <v>0</v>
      </c>
    </row>
    <row r="168" spans="1:8" s="195" customFormat="1" ht="12" x14ac:dyDescent="0.2">
      <c r="A168" s="35" t="s">
        <v>272</v>
      </c>
      <c r="B168" s="36" t="s">
        <v>173</v>
      </c>
      <c r="C168" s="36" t="s">
        <v>216</v>
      </c>
      <c r="D168" s="44" t="s">
        <v>271</v>
      </c>
      <c r="E168" s="36" t="s">
        <v>273</v>
      </c>
      <c r="F168" s="37">
        <f>1700+4000-2266+2+237.346-282.3</f>
        <v>3391.0459999999998</v>
      </c>
      <c r="G168" s="46">
        <v>0</v>
      </c>
      <c r="H168" s="46">
        <v>0</v>
      </c>
    </row>
    <row r="169" spans="1:8" s="195" customFormat="1" ht="12" x14ac:dyDescent="0.2">
      <c r="A169" s="35" t="s">
        <v>201</v>
      </c>
      <c r="B169" s="36" t="s">
        <v>173</v>
      </c>
      <c r="C169" s="36" t="s">
        <v>216</v>
      </c>
      <c r="D169" s="44" t="s">
        <v>271</v>
      </c>
      <c r="E169" s="36" t="s">
        <v>202</v>
      </c>
      <c r="F169" s="37">
        <v>300</v>
      </c>
      <c r="G169" s="46">
        <v>0</v>
      </c>
      <c r="H169" s="46">
        <v>0</v>
      </c>
    </row>
    <row r="170" spans="1:8" s="195" customFormat="1" ht="12" customHeight="1" x14ac:dyDescent="0.2">
      <c r="A170" s="29" t="s">
        <v>274</v>
      </c>
      <c r="B170" s="30" t="s">
        <v>173</v>
      </c>
      <c r="C170" s="30" t="s">
        <v>216</v>
      </c>
      <c r="D170" s="30" t="s">
        <v>275</v>
      </c>
      <c r="E170" s="30"/>
      <c r="F170" s="31">
        <f>F171</f>
        <v>568.4686899999997</v>
      </c>
      <c r="G170" s="45">
        <f t="shared" ref="G170:H171" si="45">G171</f>
        <v>0</v>
      </c>
      <c r="H170" s="45">
        <f t="shared" si="45"/>
        <v>0</v>
      </c>
    </row>
    <row r="171" spans="1:8" s="195" customFormat="1" ht="12" x14ac:dyDescent="0.2">
      <c r="A171" s="35" t="s">
        <v>199</v>
      </c>
      <c r="B171" s="36" t="s">
        <v>173</v>
      </c>
      <c r="C171" s="36" t="s">
        <v>216</v>
      </c>
      <c r="D171" s="36" t="s">
        <v>275</v>
      </c>
      <c r="E171" s="36" t="s">
        <v>200</v>
      </c>
      <c r="F171" s="37">
        <f>F172</f>
        <v>568.4686899999997</v>
      </c>
      <c r="G171" s="46">
        <f t="shared" si="45"/>
        <v>0</v>
      </c>
      <c r="H171" s="46">
        <f t="shared" si="45"/>
        <v>0</v>
      </c>
    </row>
    <row r="172" spans="1:8" s="195" customFormat="1" ht="12" x14ac:dyDescent="0.2">
      <c r="A172" s="35" t="s">
        <v>201</v>
      </c>
      <c r="B172" s="36" t="s">
        <v>173</v>
      </c>
      <c r="C172" s="36" t="s">
        <v>216</v>
      </c>
      <c r="D172" s="36" t="s">
        <v>275</v>
      </c>
      <c r="E172" s="36" t="s">
        <v>202</v>
      </c>
      <c r="F172" s="37">
        <f>16000-750-4161.53131-7000-3520</f>
        <v>568.4686899999997</v>
      </c>
      <c r="G172" s="46">
        <v>0</v>
      </c>
      <c r="H172" s="46">
        <v>0</v>
      </c>
    </row>
    <row r="173" spans="1:8" s="195" customFormat="1" ht="12" x14ac:dyDescent="0.2">
      <c r="A173" s="29" t="s">
        <v>276</v>
      </c>
      <c r="B173" s="30" t="s">
        <v>173</v>
      </c>
      <c r="C173" s="30" t="s">
        <v>216</v>
      </c>
      <c r="D173" s="30" t="s">
        <v>277</v>
      </c>
      <c r="E173" s="30"/>
      <c r="F173" s="31">
        <f>F174</f>
        <v>5000</v>
      </c>
      <c r="G173" s="45">
        <f t="shared" ref="G173:H174" si="46">G174</f>
        <v>0</v>
      </c>
      <c r="H173" s="45">
        <f t="shared" si="46"/>
        <v>0</v>
      </c>
    </row>
    <row r="174" spans="1:8" s="195" customFormat="1" ht="12" x14ac:dyDescent="0.2">
      <c r="A174" s="35" t="s">
        <v>199</v>
      </c>
      <c r="B174" s="36" t="s">
        <v>173</v>
      </c>
      <c r="C174" s="36" t="s">
        <v>216</v>
      </c>
      <c r="D174" s="36" t="s">
        <v>277</v>
      </c>
      <c r="E174" s="36" t="s">
        <v>200</v>
      </c>
      <c r="F174" s="37">
        <f>F175</f>
        <v>5000</v>
      </c>
      <c r="G174" s="46">
        <f t="shared" si="46"/>
        <v>0</v>
      </c>
      <c r="H174" s="46">
        <f t="shared" si="46"/>
        <v>0</v>
      </c>
    </row>
    <row r="175" spans="1:8" s="195" customFormat="1" ht="12" x14ac:dyDescent="0.2">
      <c r="A175" s="35" t="s">
        <v>201</v>
      </c>
      <c r="B175" s="36" t="s">
        <v>173</v>
      </c>
      <c r="C175" s="36" t="s">
        <v>216</v>
      </c>
      <c r="D175" s="36" t="s">
        <v>277</v>
      </c>
      <c r="E175" s="36" t="s">
        <v>202</v>
      </c>
      <c r="F175" s="37">
        <v>5000</v>
      </c>
      <c r="G175" s="46">
        <v>0</v>
      </c>
      <c r="H175" s="46">
        <v>0</v>
      </c>
    </row>
    <row r="176" spans="1:8" s="195" customFormat="1" ht="24" x14ac:dyDescent="0.2">
      <c r="A176" s="39" t="s">
        <v>278</v>
      </c>
      <c r="B176" s="40" t="s">
        <v>173</v>
      </c>
      <c r="C176" s="40" t="s">
        <v>216</v>
      </c>
      <c r="D176" s="40" t="s">
        <v>279</v>
      </c>
      <c r="E176" s="56"/>
      <c r="F176" s="41">
        <f t="shared" ref="F176:H177" si="47">F177</f>
        <v>1073</v>
      </c>
      <c r="G176" s="41">
        <f t="shared" si="47"/>
        <v>500</v>
      </c>
      <c r="H176" s="41">
        <f t="shared" si="47"/>
        <v>500</v>
      </c>
    </row>
    <row r="177" spans="1:8" s="195" customFormat="1" ht="12" x14ac:dyDescent="0.2">
      <c r="A177" s="35" t="s">
        <v>195</v>
      </c>
      <c r="B177" s="36" t="s">
        <v>173</v>
      </c>
      <c r="C177" s="36" t="s">
        <v>216</v>
      </c>
      <c r="D177" s="36" t="s">
        <v>279</v>
      </c>
      <c r="E177" s="48">
        <v>200</v>
      </c>
      <c r="F177" s="37">
        <f t="shared" si="47"/>
        <v>1073</v>
      </c>
      <c r="G177" s="37">
        <f t="shared" si="47"/>
        <v>500</v>
      </c>
      <c r="H177" s="37">
        <f t="shared" si="47"/>
        <v>500</v>
      </c>
    </row>
    <row r="178" spans="1:8" s="195" customFormat="1" ht="12" x14ac:dyDescent="0.2">
      <c r="A178" s="35" t="s">
        <v>197</v>
      </c>
      <c r="B178" s="36" t="s">
        <v>173</v>
      </c>
      <c r="C178" s="36" t="s">
        <v>216</v>
      </c>
      <c r="D178" s="36" t="s">
        <v>279</v>
      </c>
      <c r="E178" s="36" t="s">
        <v>198</v>
      </c>
      <c r="F178" s="37">
        <v>1073</v>
      </c>
      <c r="G178" s="37">
        <v>500</v>
      </c>
      <c r="H178" s="37">
        <v>500</v>
      </c>
    </row>
    <row r="179" spans="1:8" s="195" customFormat="1" ht="12" x14ac:dyDescent="0.2">
      <c r="A179" s="39" t="s">
        <v>280</v>
      </c>
      <c r="B179" s="40" t="s">
        <v>173</v>
      </c>
      <c r="C179" s="40" t="s">
        <v>216</v>
      </c>
      <c r="D179" s="40" t="s">
        <v>281</v>
      </c>
      <c r="E179" s="40"/>
      <c r="F179" s="41">
        <f>F180</f>
        <v>650</v>
      </c>
      <c r="G179" s="47">
        <f t="shared" ref="G179:H180" si="48">G180</f>
        <v>0</v>
      </c>
      <c r="H179" s="47">
        <f t="shared" si="48"/>
        <v>0</v>
      </c>
    </row>
    <row r="180" spans="1:8" s="195" customFormat="1" ht="12" x14ac:dyDescent="0.2">
      <c r="A180" s="35" t="s">
        <v>195</v>
      </c>
      <c r="B180" s="36" t="s">
        <v>173</v>
      </c>
      <c r="C180" s="36" t="s">
        <v>216</v>
      </c>
      <c r="D180" s="36" t="s">
        <v>281</v>
      </c>
      <c r="E180" s="48">
        <v>200</v>
      </c>
      <c r="F180" s="37">
        <f>F181</f>
        <v>650</v>
      </c>
      <c r="G180" s="46">
        <f t="shared" si="48"/>
        <v>0</v>
      </c>
      <c r="H180" s="46">
        <f t="shared" si="48"/>
        <v>0</v>
      </c>
    </row>
    <row r="181" spans="1:8" s="195" customFormat="1" ht="12" x14ac:dyDescent="0.2">
      <c r="A181" s="35" t="s">
        <v>197</v>
      </c>
      <c r="B181" s="36" t="s">
        <v>173</v>
      </c>
      <c r="C181" s="36" t="s">
        <v>216</v>
      </c>
      <c r="D181" s="36" t="s">
        <v>281</v>
      </c>
      <c r="E181" s="36" t="s">
        <v>198</v>
      </c>
      <c r="F181" s="37">
        <v>650</v>
      </c>
      <c r="G181" s="46">
        <v>0</v>
      </c>
      <c r="H181" s="46">
        <v>0</v>
      </c>
    </row>
    <row r="182" spans="1:8" s="195" customFormat="1" ht="12" x14ac:dyDescent="0.2">
      <c r="A182" s="29" t="s">
        <v>362</v>
      </c>
      <c r="B182" s="30" t="s">
        <v>173</v>
      </c>
      <c r="C182" s="30" t="s">
        <v>216</v>
      </c>
      <c r="D182" s="30" t="s">
        <v>363</v>
      </c>
      <c r="E182" s="36"/>
      <c r="F182" s="58">
        <f>F183</f>
        <v>2000</v>
      </c>
      <c r="G182" s="31">
        <f t="shared" ref="G182:H183" si="49">G183</f>
        <v>2000</v>
      </c>
      <c r="H182" s="31">
        <f t="shared" si="49"/>
        <v>2000</v>
      </c>
    </row>
    <row r="183" spans="1:8" s="195" customFormat="1" ht="24" x14ac:dyDescent="0.2">
      <c r="A183" s="35" t="s">
        <v>185</v>
      </c>
      <c r="B183" s="36" t="s">
        <v>173</v>
      </c>
      <c r="C183" s="36" t="s">
        <v>216</v>
      </c>
      <c r="D183" s="36" t="s">
        <v>363</v>
      </c>
      <c r="E183" s="36" t="s">
        <v>186</v>
      </c>
      <c r="F183" s="59">
        <f>F184</f>
        <v>2000</v>
      </c>
      <c r="G183" s="37">
        <f t="shared" si="49"/>
        <v>2000</v>
      </c>
      <c r="H183" s="37">
        <f t="shared" si="49"/>
        <v>2000</v>
      </c>
    </row>
    <row r="184" spans="1:8" s="195" customFormat="1" ht="12" x14ac:dyDescent="0.2">
      <c r="A184" s="35" t="s">
        <v>187</v>
      </c>
      <c r="B184" s="36" t="s">
        <v>173</v>
      </c>
      <c r="C184" s="36" t="s">
        <v>216</v>
      </c>
      <c r="D184" s="36" t="s">
        <v>363</v>
      </c>
      <c r="E184" s="36" t="s">
        <v>188</v>
      </c>
      <c r="F184" s="59">
        <v>2000</v>
      </c>
      <c r="G184" s="59">
        <v>2000</v>
      </c>
      <c r="H184" s="59">
        <v>2000</v>
      </c>
    </row>
    <row r="185" spans="1:8" s="195" customFormat="1" ht="12" x14ac:dyDescent="0.2">
      <c r="A185" s="39" t="s">
        <v>744</v>
      </c>
      <c r="B185" s="40" t="s">
        <v>173</v>
      </c>
      <c r="C185" s="40" t="s">
        <v>216</v>
      </c>
      <c r="D185" s="40" t="s">
        <v>189</v>
      </c>
      <c r="E185" s="40"/>
      <c r="F185" s="41">
        <f t="shared" ref="F185:H186" si="50">F186</f>
        <v>2399</v>
      </c>
      <c r="G185" s="41">
        <f t="shared" si="50"/>
        <v>2495</v>
      </c>
      <c r="H185" s="41">
        <f t="shared" si="50"/>
        <v>2594.8000000000002</v>
      </c>
    </row>
    <row r="186" spans="1:8" s="195" customFormat="1" ht="12" x14ac:dyDescent="0.2">
      <c r="A186" s="29" t="s">
        <v>353</v>
      </c>
      <c r="B186" s="30" t="s">
        <v>173</v>
      </c>
      <c r="C186" s="30" t="s">
        <v>216</v>
      </c>
      <c r="D186" s="30" t="s">
        <v>190</v>
      </c>
      <c r="E186" s="30"/>
      <c r="F186" s="31">
        <f t="shared" si="50"/>
        <v>2399</v>
      </c>
      <c r="G186" s="31">
        <f t="shared" si="50"/>
        <v>2495</v>
      </c>
      <c r="H186" s="31">
        <f t="shared" si="50"/>
        <v>2594.8000000000002</v>
      </c>
    </row>
    <row r="187" spans="1:8" s="195" customFormat="1" ht="24" x14ac:dyDescent="0.2">
      <c r="A187" s="52" t="s">
        <v>759</v>
      </c>
      <c r="B187" s="49" t="s">
        <v>173</v>
      </c>
      <c r="C187" s="49" t="s">
        <v>216</v>
      </c>
      <c r="D187" s="49" t="s">
        <v>760</v>
      </c>
      <c r="E187" s="49"/>
      <c r="F187" s="53">
        <f>F188+F191</f>
        <v>2399</v>
      </c>
      <c r="G187" s="53">
        <f>G188+G191</f>
        <v>2495</v>
      </c>
      <c r="H187" s="53">
        <f>H188+H191</f>
        <v>2594.8000000000002</v>
      </c>
    </row>
    <row r="188" spans="1:8" s="195" customFormat="1" ht="12" x14ac:dyDescent="0.2">
      <c r="A188" s="29" t="s">
        <v>761</v>
      </c>
      <c r="B188" s="30" t="s">
        <v>173</v>
      </c>
      <c r="C188" s="30" t="s">
        <v>216</v>
      </c>
      <c r="D188" s="30" t="s">
        <v>760</v>
      </c>
      <c r="E188" s="30"/>
      <c r="F188" s="31">
        <f t="shared" ref="F188:H189" si="51">F189</f>
        <v>2387</v>
      </c>
      <c r="G188" s="31">
        <f t="shared" si="51"/>
        <v>2483</v>
      </c>
      <c r="H188" s="31">
        <f t="shared" si="51"/>
        <v>2582.8000000000002</v>
      </c>
    </row>
    <row r="189" spans="1:8" s="195" customFormat="1" ht="23.25" customHeight="1" x14ac:dyDescent="0.2">
      <c r="A189" s="35" t="s">
        <v>185</v>
      </c>
      <c r="B189" s="36" t="s">
        <v>173</v>
      </c>
      <c r="C189" s="36" t="s">
        <v>216</v>
      </c>
      <c r="D189" s="36" t="s">
        <v>760</v>
      </c>
      <c r="E189" s="36" t="s">
        <v>186</v>
      </c>
      <c r="F189" s="37">
        <f t="shared" si="51"/>
        <v>2387</v>
      </c>
      <c r="G189" s="37">
        <f t="shared" si="51"/>
        <v>2483</v>
      </c>
      <c r="H189" s="37">
        <f t="shared" si="51"/>
        <v>2582.8000000000002</v>
      </c>
    </row>
    <row r="190" spans="1:8" s="195" customFormat="1" ht="12" x14ac:dyDescent="0.2">
      <c r="A190" s="35" t="s">
        <v>187</v>
      </c>
      <c r="B190" s="36" t="s">
        <v>173</v>
      </c>
      <c r="C190" s="36" t="s">
        <v>216</v>
      </c>
      <c r="D190" s="36" t="s">
        <v>760</v>
      </c>
      <c r="E190" s="36" t="s">
        <v>188</v>
      </c>
      <c r="F190" s="37">
        <f>2376+11</f>
        <v>2387</v>
      </c>
      <c r="G190" s="37">
        <f>2471.6+11.4</f>
        <v>2483</v>
      </c>
      <c r="H190" s="37">
        <f>2570.9+11.9</f>
        <v>2582.8000000000002</v>
      </c>
    </row>
    <row r="191" spans="1:8" s="195" customFormat="1" ht="12" x14ac:dyDescent="0.2">
      <c r="A191" s="29" t="s">
        <v>762</v>
      </c>
      <c r="B191" s="30" t="s">
        <v>173</v>
      </c>
      <c r="C191" s="30" t="s">
        <v>216</v>
      </c>
      <c r="D191" s="30" t="s">
        <v>760</v>
      </c>
      <c r="E191" s="30"/>
      <c r="F191" s="31">
        <f>F192</f>
        <v>12</v>
      </c>
      <c r="G191" s="31">
        <f t="shared" ref="G191:H192" si="52">G192</f>
        <v>12</v>
      </c>
      <c r="H191" s="31">
        <f t="shared" si="52"/>
        <v>12</v>
      </c>
    </row>
    <row r="192" spans="1:8" s="195" customFormat="1" ht="12" x14ac:dyDescent="0.2">
      <c r="A192" s="35" t="s">
        <v>195</v>
      </c>
      <c r="B192" s="36" t="s">
        <v>173</v>
      </c>
      <c r="C192" s="36" t="s">
        <v>216</v>
      </c>
      <c r="D192" s="36" t="s">
        <v>760</v>
      </c>
      <c r="E192" s="36" t="s">
        <v>196</v>
      </c>
      <c r="F192" s="37">
        <f>F193</f>
        <v>12</v>
      </c>
      <c r="G192" s="37">
        <f t="shared" si="52"/>
        <v>12</v>
      </c>
      <c r="H192" s="37">
        <f t="shared" si="52"/>
        <v>12</v>
      </c>
    </row>
    <row r="193" spans="1:8" s="195" customFormat="1" ht="12" x14ac:dyDescent="0.2">
      <c r="A193" s="35" t="s">
        <v>197</v>
      </c>
      <c r="B193" s="36" t="s">
        <v>173</v>
      </c>
      <c r="C193" s="36" t="s">
        <v>216</v>
      </c>
      <c r="D193" s="36" t="s">
        <v>760</v>
      </c>
      <c r="E193" s="36" t="s">
        <v>198</v>
      </c>
      <c r="F193" s="37">
        <v>12</v>
      </c>
      <c r="G193" s="37">
        <v>12</v>
      </c>
      <c r="H193" s="37">
        <v>12</v>
      </c>
    </row>
    <row r="194" spans="1:8" s="195" customFormat="1" ht="12" x14ac:dyDescent="0.2">
      <c r="A194" s="29" t="s">
        <v>282</v>
      </c>
      <c r="B194" s="30" t="s">
        <v>283</v>
      </c>
      <c r="C194" s="30" t="s">
        <v>174</v>
      </c>
      <c r="D194" s="30"/>
      <c r="E194" s="30"/>
      <c r="F194" s="31">
        <f>F195</f>
        <v>12894.001</v>
      </c>
      <c r="G194" s="31">
        <f t="shared" ref="G194:H196" si="53">G195</f>
        <v>8497</v>
      </c>
      <c r="H194" s="31">
        <f t="shared" si="53"/>
        <v>8497</v>
      </c>
    </row>
    <row r="195" spans="1:8" s="195" customFormat="1" ht="24" x14ac:dyDescent="0.2">
      <c r="A195" s="29" t="s">
        <v>773</v>
      </c>
      <c r="B195" s="30" t="s">
        <v>283</v>
      </c>
      <c r="C195" s="30" t="s">
        <v>284</v>
      </c>
      <c r="D195" s="30"/>
      <c r="E195" s="30"/>
      <c r="F195" s="31">
        <f>F196</f>
        <v>12894.001</v>
      </c>
      <c r="G195" s="31">
        <f t="shared" si="53"/>
        <v>8497</v>
      </c>
      <c r="H195" s="31">
        <f t="shared" si="53"/>
        <v>8497</v>
      </c>
    </row>
    <row r="196" spans="1:8" s="195" customFormat="1" ht="12" x14ac:dyDescent="0.2">
      <c r="A196" s="39" t="s">
        <v>285</v>
      </c>
      <c r="B196" s="40" t="s">
        <v>283</v>
      </c>
      <c r="C196" s="40" t="s">
        <v>284</v>
      </c>
      <c r="D196" s="40" t="s">
        <v>189</v>
      </c>
      <c r="E196" s="40"/>
      <c r="F196" s="41">
        <f>F197</f>
        <v>12894.001</v>
      </c>
      <c r="G196" s="41">
        <f t="shared" si="53"/>
        <v>8497</v>
      </c>
      <c r="H196" s="41">
        <f t="shared" si="53"/>
        <v>8497</v>
      </c>
    </row>
    <row r="197" spans="1:8" s="195" customFormat="1" ht="12" x14ac:dyDescent="0.2">
      <c r="A197" s="29" t="s">
        <v>180</v>
      </c>
      <c r="B197" s="30" t="s">
        <v>283</v>
      </c>
      <c r="C197" s="30" t="s">
        <v>284</v>
      </c>
      <c r="D197" s="30" t="s">
        <v>190</v>
      </c>
      <c r="E197" s="30"/>
      <c r="F197" s="31">
        <f>F198+F201</f>
        <v>12894.001</v>
      </c>
      <c r="G197" s="31">
        <f>G198+G201</f>
        <v>8497</v>
      </c>
      <c r="H197" s="31">
        <f>H198+H201</f>
        <v>8497</v>
      </c>
    </row>
    <row r="198" spans="1:8" s="195" customFormat="1" ht="24" x14ac:dyDescent="0.2">
      <c r="A198" s="29" t="s">
        <v>286</v>
      </c>
      <c r="B198" s="30" t="s">
        <v>283</v>
      </c>
      <c r="C198" s="30" t="s">
        <v>284</v>
      </c>
      <c r="D198" s="30" t="s">
        <v>287</v>
      </c>
      <c r="E198" s="30"/>
      <c r="F198" s="31">
        <f>F199</f>
        <v>3000</v>
      </c>
      <c r="G198" s="31">
        <f t="shared" ref="G198:H199" si="54">G199</f>
        <v>1000</v>
      </c>
      <c r="H198" s="31">
        <f t="shared" si="54"/>
        <v>1000</v>
      </c>
    </row>
    <row r="199" spans="1:8" s="195" customFormat="1" ht="12" x14ac:dyDescent="0.2">
      <c r="A199" s="35" t="s">
        <v>195</v>
      </c>
      <c r="B199" s="36" t="s">
        <v>283</v>
      </c>
      <c r="C199" s="36" t="s">
        <v>284</v>
      </c>
      <c r="D199" s="36" t="s">
        <v>287</v>
      </c>
      <c r="E199" s="36" t="s">
        <v>196</v>
      </c>
      <c r="F199" s="37">
        <f>F200</f>
        <v>3000</v>
      </c>
      <c r="G199" s="37">
        <f t="shared" si="54"/>
        <v>1000</v>
      </c>
      <c r="H199" s="37">
        <f t="shared" si="54"/>
        <v>1000</v>
      </c>
    </row>
    <row r="200" spans="1:8" s="195" customFormat="1" ht="12" x14ac:dyDescent="0.2">
      <c r="A200" s="35" t="s">
        <v>197</v>
      </c>
      <c r="B200" s="36" t="s">
        <v>283</v>
      </c>
      <c r="C200" s="36" t="s">
        <v>284</v>
      </c>
      <c r="D200" s="36" t="s">
        <v>287</v>
      </c>
      <c r="E200" s="36" t="s">
        <v>198</v>
      </c>
      <c r="F200" s="37">
        <f>3000</f>
        <v>3000</v>
      </c>
      <c r="G200" s="37">
        <v>1000</v>
      </c>
      <c r="H200" s="37">
        <v>1000</v>
      </c>
    </row>
    <row r="201" spans="1:8" s="195" customFormat="1" ht="12" x14ac:dyDescent="0.2">
      <c r="A201" s="52" t="s">
        <v>263</v>
      </c>
      <c r="B201" s="49" t="s">
        <v>283</v>
      </c>
      <c r="C201" s="49" t="s">
        <v>284</v>
      </c>
      <c r="D201" s="49" t="s">
        <v>190</v>
      </c>
      <c r="E201" s="49"/>
      <c r="F201" s="53">
        <f>F202</f>
        <v>9894.0010000000002</v>
      </c>
      <c r="G201" s="53">
        <f t="shared" ref="G201:H201" si="55">G202</f>
        <v>7497</v>
      </c>
      <c r="H201" s="53">
        <f t="shared" si="55"/>
        <v>7497</v>
      </c>
    </row>
    <row r="202" spans="1:8" s="195" customFormat="1" ht="12" x14ac:dyDescent="0.2">
      <c r="A202" s="29" t="s">
        <v>288</v>
      </c>
      <c r="B202" s="30" t="s">
        <v>283</v>
      </c>
      <c r="C202" s="30" t="s">
        <v>284</v>
      </c>
      <c r="D202" s="30" t="s">
        <v>289</v>
      </c>
      <c r="E202" s="30"/>
      <c r="F202" s="31">
        <f>F203+F205+F207</f>
        <v>9894.0010000000002</v>
      </c>
      <c r="G202" s="31">
        <f>G203+G205+G207</f>
        <v>7497</v>
      </c>
      <c r="H202" s="31">
        <f>H203+H205+H207</f>
        <v>7497</v>
      </c>
    </row>
    <row r="203" spans="1:8" s="195" customFormat="1" ht="24" x14ac:dyDescent="0.2">
      <c r="A203" s="35" t="s">
        <v>185</v>
      </c>
      <c r="B203" s="36" t="s">
        <v>283</v>
      </c>
      <c r="C203" s="36" t="s">
        <v>284</v>
      </c>
      <c r="D203" s="36" t="s">
        <v>289</v>
      </c>
      <c r="E203" s="36" t="s">
        <v>186</v>
      </c>
      <c r="F203" s="37">
        <f>F204</f>
        <v>4716.152</v>
      </c>
      <c r="G203" s="37">
        <f t="shared" ref="G203:H203" si="56">G204</f>
        <v>4242</v>
      </c>
      <c r="H203" s="37">
        <f t="shared" si="56"/>
        <v>4242</v>
      </c>
    </row>
    <row r="204" spans="1:8" s="195" customFormat="1" ht="12" x14ac:dyDescent="0.2">
      <c r="A204" s="35" t="s">
        <v>266</v>
      </c>
      <c r="B204" s="36" t="s">
        <v>283</v>
      </c>
      <c r="C204" s="36" t="s">
        <v>284</v>
      </c>
      <c r="D204" s="36" t="s">
        <v>289</v>
      </c>
      <c r="E204" s="36" t="s">
        <v>267</v>
      </c>
      <c r="F204" s="37">
        <f>3196.6+20+971.4+7+47+474.152</f>
        <v>4716.152</v>
      </c>
      <c r="G204" s="37">
        <f t="shared" ref="G204:H204" si="57">3196.6+20+971.4+7+47</f>
        <v>4242</v>
      </c>
      <c r="H204" s="37">
        <f t="shared" si="57"/>
        <v>4242</v>
      </c>
    </row>
    <row r="205" spans="1:8" s="195" customFormat="1" ht="12" x14ac:dyDescent="0.2">
      <c r="A205" s="35" t="s">
        <v>195</v>
      </c>
      <c r="B205" s="36" t="s">
        <v>283</v>
      </c>
      <c r="C205" s="36" t="s">
        <v>284</v>
      </c>
      <c r="D205" s="36" t="s">
        <v>289</v>
      </c>
      <c r="E205" s="36" t="s">
        <v>196</v>
      </c>
      <c r="F205" s="37">
        <f>F206</f>
        <v>5167.8490000000002</v>
      </c>
      <c r="G205" s="37">
        <f t="shared" ref="G205:H205" si="58">G206</f>
        <v>3245</v>
      </c>
      <c r="H205" s="37">
        <f t="shared" si="58"/>
        <v>3245</v>
      </c>
    </row>
    <row r="206" spans="1:8" s="195" customFormat="1" ht="12" x14ac:dyDescent="0.2">
      <c r="A206" s="35" t="s">
        <v>197</v>
      </c>
      <c r="B206" s="36" t="s">
        <v>283</v>
      </c>
      <c r="C206" s="36" t="s">
        <v>284</v>
      </c>
      <c r="D206" s="36" t="s">
        <v>289</v>
      </c>
      <c r="E206" s="36" t="s">
        <v>198</v>
      </c>
      <c r="F206" s="37">
        <f>225+720+70+160+70+2000+1922.849</f>
        <v>5167.8490000000002</v>
      </c>
      <c r="G206" s="37">
        <f t="shared" ref="G206:H206" si="59">225+720+70+160+70+2000</f>
        <v>3245</v>
      </c>
      <c r="H206" s="37">
        <f t="shared" si="59"/>
        <v>3245</v>
      </c>
    </row>
    <row r="207" spans="1:8" s="195" customFormat="1" ht="12" x14ac:dyDescent="0.2">
      <c r="A207" s="35" t="s">
        <v>199</v>
      </c>
      <c r="B207" s="36" t="s">
        <v>283</v>
      </c>
      <c r="C207" s="36" t="s">
        <v>284</v>
      </c>
      <c r="D207" s="36" t="s">
        <v>289</v>
      </c>
      <c r="E207" s="36" t="s">
        <v>200</v>
      </c>
      <c r="F207" s="37">
        <f>F208</f>
        <v>10</v>
      </c>
      <c r="G207" s="37">
        <f t="shared" ref="G207:H207" si="60">G208</f>
        <v>10</v>
      </c>
      <c r="H207" s="37">
        <f t="shared" si="60"/>
        <v>10</v>
      </c>
    </row>
    <row r="208" spans="1:8" s="195" customFormat="1" ht="12" x14ac:dyDescent="0.2">
      <c r="A208" s="35" t="s">
        <v>201</v>
      </c>
      <c r="B208" s="36" t="s">
        <v>283</v>
      </c>
      <c r="C208" s="36" t="s">
        <v>284</v>
      </c>
      <c r="D208" s="36" t="s">
        <v>289</v>
      </c>
      <c r="E208" s="36" t="s">
        <v>202</v>
      </c>
      <c r="F208" s="37">
        <v>10</v>
      </c>
      <c r="G208" s="37">
        <v>10</v>
      </c>
      <c r="H208" s="37">
        <v>10</v>
      </c>
    </row>
    <row r="209" spans="1:8" s="195" customFormat="1" ht="12" x14ac:dyDescent="0.2">
      <c r="A209" s="29" t="s">
        <v>290</v>
      </c>
      <c r="B209" s="30" t="s">
        <v>177</v>
      </c>
      <c r="C209" s="30" t="s">
        <v>174</v>
      </c>
      <c r="D209" s="30"/>
      <c r="E209" s="30"/>
      <c r="F209" s="31">
        <f>F210+F216+F235+F244+F276+F322</f>
        <v>1044063.9151699999</v>
      </c>
      <c r="G209" s="31">
        <f>G210+G216+G226+G235+G244+G276+G322</f>
        <v>897874.2</v>
      </c>
      <c r="H209" s="31">
        <f>H210+H216+H226+H235+H244+H276+H322</f>
        <v>382646.2</v>
      </c>
    </row>
    <row r="210" spans="1:8" s="195" customFormat="1" ht="12" x14ac:dyDescent="0.2">
      <c r="A210" s="29" t="s">
        <v>364</v>
      </c>
      <c r="B210" s="30" t="s">
        <v>177</v>
      </c>
      <c r="C210" s="30" t="s">
        <v>173</v>
      </c>
      <c r="D210" s="36"/>
      <c r="E210" s="36"/>
      <c r="F210" s="31">
        <f t="shared" ref="F210:H214" si="61">F211</f>
        <v>468.8</v>
      </c>
      <c r="G210" s="58">
        <f t="shared" si="61"/>
        <v>468.8</v>
      </c>
      <c r="H210" s="58">
        <f t="shared" si="61"/>
        <v>468.8</v>
      </c>
    </row>
    <row r="211" spans="1:8" s="195" customFormat="1" ht="12" x14ac:dyDescent="0.2">
      <c r="A211" s="39" t="s">
        <v>178</v>
      </c>
      <c r="B211" s="30" t="s">
        <v>177</v>
      </c>
      <c r="C211" s="30" t="s">
        <v>173</v>
      </c>
      <c r="D211" s="40" t="s">
        <v>189</v>
      </c>
      <c r="E211" s="40"/>
      <c r="F211" s="41">
        <f t="shared" si="61"/>
        <v>468.8</v>
      </c>
      <c r="G211" s="206">
        <f t="shared" si="61"/>
        <v>468.8</v>
      </c>
      <c r="H211" s="206">
        <f t="shared" si="61"/>
        <v>468.8</v>
      </c>
    </row>
    <row r="212" spans="1:8" s="195" customFormat="1" ht="12" x14ac:dyDescent="0.2">
      <c r="A212" s="29" t="s">
        <v>180</v>
      </c>
      <c r="B212" s="30" t="s">
        <v>177</v>
      </c>
      <c r="C212" s="30" t="s">
        <v>173</v>
      </c>
      <c r="D212" s="30" t="s">
        <v>190</v>
      </c>
      <c r="E212" s="30"/>
      <c r="F212" s="31">
        <f t="shared" si="61"/>
        <v>468.8</v>
      </c>
      <c r="G212" s="58">
        <f t="shared" si="61"/>
        <v>468.8</v>
      </c>
      <c r="H212" s="58">
        <f t="shared" si="61"/>
        <v>468.8</v>
      </c>
    </row>
    <row r="213" spans="1:8" s="195" customFormat="1" ht="12" x14ac:dyDescent="0.2">
      <c r="A213" s="39" t="s">
        <v>365</v>
      </c>
      <c r="B213" s="40" t="s">
        <v>177</v>
      </c>
      <c r="C213" s="40" t="s">
        <v>173</v>
      </c>
      <c r="D213" s="40" t="s">
        <v>366</v>
      </c>
      <c r="E213" s="40"/>
      <c r="F213" s="41">
        <f t="shared" si="61"/>
        <v>468.8</v>
      </c>
      <c r="G213" s="206">
        <f t="shared" si="61"/>
        <v>468.8</v>
      </c>
      <c r="H213" s="206">
        <f t="shared" si="61"/>
        <v>468.8</v>
      </c>
    </row>
    <row r="214" spans="1:8" s="195" customFormat="1" ht="24" x14ac:dyDescent="0.2">
      <c r="A214" s="35" t="s">
        <v>185</v>
      </c>
      <c r="B214" s="36" t="s">
        <v>177</v>
      </c>
      <c r="C214" s="36" t="s">
        <v>173</v>
      </c>
      <c r="D214" s="36" t="s">
        <v>366</v>
      </c>
      <c r="E214" s="36" t="s">
        <v>186</v>
      </c>
      <c r="F214" s="37">
        <f t="shared" si="61"/>
        <v>468.8</v>
      </c>
      <c r="G214" s="59">
        <f t="shared" si="61"/>
        <v>468.8</v>
      </c>
      <c r="H214" s="59">
        <f t="shared" si="61"/>
        <v>468.8</v>
      </c>
    </row>
    <row r="215" spans="1:8" s="195" customFormat="1" ht="12" x14ac:dyDescent="0.2">
      <c r="A215" s="35" t="s">
        <v>187</v>
      </c>
      <c r="B215" s="36" t="s">
        <v>177</v>
      </c>
      <c r="C215" s="36" t="s">
        <v>173</v>
      </c>
      <c r="D215" s="36" t="s">
        <v>366</v>
      </c>
      <c r="E215" s="36" t="s">
        <v>188</v>
      </c>
      <c r="F215" s="37">
        <v>468.8</v>
      </c>
      <c r="G215" s="37">
        <v>468.8</v>
      </c>
      <c r="H215" s="37">
        <v>468.8</v>
      </c>
    </row>
    <row r="216" spans="1:8" s="195" customFormat="1" ht="12" x14ac:dyDescent="0.2">
      <c r="A216" s="29" t="s">
        <v>550</v>
      </c>
      <c r="B216" s="30" t="s">
        <v>177</v>
      </c>
      <c r="C216" s="30" t="s">
        <v>206</v>
      </c>
      <c r="D216" s="40"/>
      <c r="E216" s="40"/>
      <c r="F216" s="45">
        <f>F217+F226</f>
        <v>24200</v>
      </c>
      <c r="G216" s="45">
        <f>G217+G226</f>
        <v>2871</v>
      </c>
      <c r="H216" s="45">
        <f>H217+H226</f>
        <v>2871</v>
      </c>
    </row>
    <row r="217" spans="1:8" s="195" customFormat="1" ht="24" x14ac:dyDescent="0.2">
      <c r="A217" s="39" t="s">
        <v>586</v>
      </c>
      <c r="B217" s="40" t="s">
        <v>177</v>
      </c>
      <c r="C217" s="40" t="s">
        <v>206</v>
      </c>
      <c r="D217" s="40" t="s">
        <v>587</v>
      </c>
      <c r="E217" s="40"/>
      <c r="F217" s="47">
        <f>F218</f>
        <v>10000</v>
      </c>
      <c r="G217" s="47">
        <f t="shared" ref="G217:H218" si="62">G218</f>
        <v>2871</v>
      </c>
      <c r="H217" s="47">
        <f t="shared" si="62"/>
        <v>2871</v>
      </c>
    </row>
    <row r="218" spans="1:8" s="195" customFormat="1" ht="12" x14ac:dyDescent="0.2">
      <c r="A218" s="29" t="s">
        <v>588</v>
      </c>
      <c r="B218" s="30" t="s">
        <v>177</v>
      </c>
      <c r="C218" s="30" t="s">
        <v>206</v>
      </c>
      <c r="D218" s="30" t="s">
        <v>590</v>
      </c>
      <c r="E218" s="40"/>
      <c r="F218" s="45">
        <f>F219</f>
        <v>10000</v>
      </c>
      <c r="G218" s="45">
        <f t="shared" si="62"/>
        <v>2871</v>
      </c>
      <c r="H218" s="45">
        <f t="shared" si="62"/>
        <v>2871</v>
      </c>
    </row>
    <row r="219" spans="1:8" s="195" customFormat="1" ht="12" x14ac:dyDescent="0.2">
      <c r="A219" s="39" t="s">
        <v>591</v>
      </c>
      <c r="B219" s="40" t="s">
        <v>177</v>
      </c>
      <c r="C219" s="40" t="s">
        <v>206</v>
      </c>
      <c r="D219" s="40" t="s">
        <v>592</v>
      </c>
      <c r="E219" s="40"/>
      <c r="F219" s="47">
        <f>F220+F222+F224</f>
        <v>10000</v>
      </c>
      <c r="G219" s="47">
        <f>G220+G222+G224</f>
        <v>2871</v>
      </c>
      <c r="H219" s="47">
        <f>H220+H222+H224</f>
        <v>2871</v>
      </c>
    </row>
    <row r="220" spans="1:8" s="195" customFormat="1" ht="24" x14ac:dyDescent="0.2">
      <c r="A220" s="35" t="s">
        <v>185</v>
      </c>
      <c r="B220" s="36" t="s">
        <v>177</v>
      </c>
      <c r="C220" s="36" t="s">
        <v>206</v>
      </c>
      <c r="D220" s="36" t="s">
        <v>592</v>
      </c>
      <c r="E220" s="36" t="s">
        <v>186</v>
      </c>
      <c r="F220" s="46">
        <f>F221</f>
        <v>5931.3</v>
      </c>
      <c r="G220" s="46">
        <f t="shared" ref="G220:H220" si="63">G221</f>
        <v>1851</v>
      </c>
      <c r="H220" s="46">
        <f t="shared" si="63"/>
        <v>1851</v>
      </c>
    </row>
    <row r="221" spans="1:8" s="196" customFormat="1" ht="12" x14ac:dyDescent="0.2">
      <c r="A221" s="35" t="s">
        <v>266</v>
      </c>
      <c r="B221" s="36" t="s">
        <v>177</v>
      </c>
      <c r="C221" s="36" t="s">
        <v>206</v>
      </c>
      <c r="D221" s="36" t="s">
        <v>592</v>
      </c>
      <c r="E221" s="36" t="s">
        <v>267</v>
      </c>
      <c r="F221" s="46">
        <v>5931.3</v>
      </c>
      <c r="G221" s="46">
        <v>1851</v>
      </c>
      <c r="H221" s="46">
        <v>1851</v>
      </c>
    </row>
    <row r="222" spans="1:8" s="195" customFormat="1" ht="12" x14ac:dyDescent="0.2">
      <c r="A222" s="35" t="s">
        <v>195</v>
      </c>
      <c r="B222" s="36" t="s">
        <v>177</v>
      </c>
      <c r="C222" s="36" t="s">
        <v>206</v>
      </c>
      <c r="D222" s="36" t="s">
        <v>592</v>
      </c>
      <c r="E222" s="36" t="s">
        <v>196</v>
      </c>
      <c r="F222" s="46">
        <f>F223</f>
        <v>4033.7000000000007</v>
      </c>
      <c r="G222" s="46">
        <f t="shared" ref="G222:H222" si="64">G223</f>
        <v>1000</v>
      </c>
      <c r="H222" s="46">
        <f t="shared" si="64"/>
        <v>1000</v>
      </c>
    </row>
    <row r="223" spans="1:8" s="195" customFormat="1" ht="12" x14ac:dyDescent="0.2">
      <c r="A223" s="35" t="s">
        <v>197</v>
      </c>
      <c r="B223" s="36" t="s">
        <v>177</v>
      </c>
      <c r="C223" s="36" t="s">
        <v>206</v>
      </c>
      <c r="D223" s="36" t="s">
        <v>592</v>
      </c>
      <c r="E223" s="36" t="s">
        <v>198</v>
      </c>
      <c r="F223" s="46">
        <f>9033.7-5000</f>
        <v>4033.7000000000007</v>
      </c>
      <c r="G223" s="46">
        <v>1000</v>
      </c>
      <c r="H223" s="46">
        <v>1000</v>
      </c>
    </row>
    <row r="224" spans="1:8" s="195" customFormat="1" ht="12" x14ac:dyDescent="0.2">
      <c r="A224" s="35" t="s">
        <v>199</v>
      </c>
      <c r="B224" s="36" t="s">
        <v>177</v>
      </c>
      <c r="C224" s="36" t="s">
        <v>206</v>
      </c>
      <c r="D224" s="36" t="s">
        <v>592</v>
      </c>
      <c r="E224" s="36" t="s">
        <v>200</v>
      </c>
      <c r="F224" s="46">
        <f>F225</f>
        <v>35</v>
      </c>
      <c r="G224" s="46">
        <f t="shared" ref="G224:H224" si="65">G225</f>
        <v>20</v>
      </c>
      <c r="H224" s="46">
        <f t="shared" si="65"/>
        <v>20</v>
      </c>
    </row>
    <row r="225" spans="1:8" s="195" customFormat="1" ht="12" x14ac:dyDescent="0.2">
      <c r="A225" s="35" t="s">
        <v>201</v>
      </c>
      <c r="B225" s="36" t="s">
        <v>177</v>
      </c>
      <c r="C225" s="36" t="s">
        <v>206</v>
      </c>
      <c r="D225" s="36" t="s">
        <v>592</v>
      </c>
      <c r="E225" s="36" t="s">
        <v>202</v>
      </c>
      <c r="F225" s="46">
        <v>35</v>
      </c>
      <c r="G225" s="46">
        <v>20</v>
      </c>
      <c r="H225" s="46">
        <v>20</v>
      </c>
    </row>
    <row r="226" spans="1:8" s="195" customFormat="1" ht="12" x14ac:dyDescent="0.2">
      <c r="A226" s="39" t="s">
        <v>551</v>
      </c>
      <c r="B226" s="30" t="s">
        <v>177</v>
      </c>
      <c r="C226" s="30" t="s">
        <v>206</v>
      </c>
      <c r="D226" s="40" t="s">
        <v>552</v>
      </c>
      <c r="E226" s="30"/>
      <c r="F226" s="41">
        <f>F227+F230</f>
        <v>14200</v>
      </c>
      <c r="G226" s="47">
        <f>G227+G230</f>
        <v>0</v>
      </c>
      <c r="H226" s="47">
        <f>H227+H230</f>
        <v>0</v>
      </c>
    </row>
    <row r="227" spans="1:8" s="195" customFormat="1" ht="12" x14ac:dyDescent="0.2">
      <c r="A227" s="29" t="s">
        <v>553</v>
      </c>
      <c r="B227" s="30" t="s">
        <v>177</v>
      </c>
      <c r="C227" s="30" t="s">
        <v>206</v>
      </c>
      <c r="D227" s="30" t="s">
        <v>554</v>
      </c>
      <c r="E227" s="30"/>
      <c r="F227" s="31">
        <f>F228</f>
        <v>14000</v>
      </c>
      <c r="G227" s="45">
        <f t="shared" ref="G227:H228" si="66">G228</f>
        <v>0</v>
      </c>
      <c r="H227" s="45">
        <f t="shared" si="66"/>
        <v>0</v>
      </c>
    </row>
    <row r="228" spans="1:8" s="195" customFormat="1" ht="12" x14ac:dyDescent="0.2">
      <c r="A228" s="35" t="s">
        <v>344</v>
      </c>
      <c r="B228" s="36" t="s">
        <v>177</v>
      </c>
      <c r="C228" s="36" t="s">
        <v>206</v>
      </c>
      <c r="D228" s="36" t="s">
        <v>554</v>
      </c>
      <c r="E228" s="36" t="s">
        <v>345</v>
      </c>
      <c r="F228" s="37">
        <f>F229</f>
        <v>14000</v>
      </c>
      <c r="G228" s="46">
        <f t="shared" si="66"/>
        <v>0</v>
      </c>
      <c r="H228" s="46">
        <f t="shared" si="66"/>
        <v>0</v>
      </c>
    </row>
    <row r="229" spans="1:8" s="195" customFormat="1" ht="12" x14ac:dyDescent="0.2">
      <c r="A229" s="35" t="s">
        <v>346</v>
      </c>
      <c r="B229" s="36" t="s">
        <v>177</v>
      </c>
      <c r="C229" s="36" t="s">
        <v>206</v>
      </c>
      <c r="D229" s="36" t="s">
        <v>554</v>
      </c>
      <c r="E229" s="36" t="s">
        <v>347</v>
      </c>
      <c r="F229" s="37">
        <f>14500-500</f>
        <v>14000</v>
      </c>
      <c r="G229" s="46">
        <v>0</v>
      </c>
      <c r="H229" s="46">
        <v>0</v>
      </c>
    </row>
    <row r="230" spans="1:8" s="195" customFormat="1" ht="12" x14ac:dyDescent="0.2">
      <c r="A230" s="50" t="s">
        <v>555</v>
      </c>
      <c r="B230" s="30" t="s">
        <v>177</v>
      </c>
      <c r="C230" s="30" t="s">
        <v>206</v>
      </c>
      <c r="D230" s="30" t="s">
        <v>556</v>
      </c>
      <c r="E230" s="30"/>
      <c r="F230" s="31">
        <f>F233+F231</f>
        <v>200</v>
      </c>
      <c r="G230" s="45">
        <f>G233</f>
        <v>0</v>
      </c>
      <c r="H230" s="45">
        <f>H233</f>
        <v>0</v>
      </c>
    </row>
    <row r="231" spans="1:8" s="195" customFormat="1" ht="12" x14ac:dyDescent="0.2">
      <c r="A231" s="35" t="s">
        <v>195</v>
      </c>
      <c r="B231" s="36" t="s">
        <v>177</v>
      </c>
      <c r="C231" s="36" t="s">
        <v>206</v>
      </c>
      <c r="D231" s="36" t="s">
        <v>556</v>
      </c>
      <c r="E231" s="36" t="s">
        <v>196</v>
      </c>
      <c r="F231" s="37">
        <f>F232</f>
        <v>105</v>
      </c>
      <c r="G231" s="46">
        <f>G232</f>
        <v>0</v>
      </c>
      <c r="H231" s="46">
        <f>H232</f>
        <v>0</v>
      </c>
    </row>
    <row r="232" spans="1:8" s="195" customFormat="1" ht="12" x14ac:dyDescent="0.2">
      <c r="A232" s="35" t="s">
        <v>197</v>
      </c>
      <c r="B232" s="36" t="s">
        <v>177</v>
      </c>
      <c r="C232" s="36" t="s">
        <v>206</v>
      </c>
      <c r="D232" s="36" t="s">
        <v>556</v>
      </c>
      <c r="E232" s="36" t="s">
        <v>198</v>
      </c>
      <c r="F232" s="37">
        <f>35+70</f>
        <v>105</v>
      </c>
      <c r="G232" s="46">
        <v>0</v>
      </c>
      <c r="H232" s="46">
        <v>0</v>
      </c>
    </row>
    <row r="233" spans="1:8" s="195" customFormat="1" ht="12" x14ac:dyDescent="0.2">
      <c r="A233" s="35" t="s">
        <v>344</v>
      </c>
      <c r="B233" s="36" t="s">
        <v>177</v>
      </c>
      <c r="C233" s="36" t="s">
        <v>206</v>
      </c>
      <c r="D233" s="36" t="s">
        <v>556</v>
      </c>
      <c r="E233" s="36" t="s">
        <v>345</v>
      </c>
      <c r="F233" s="37">
        <f>F234</f>
        <v>95</v>
      </c>
      <c r="G233" s="46">
        <f>G234</f>
        <v>0</v>
      </c>
      <c r="H233" s="46">
        <f>H234</f>
        <v>0</v>
      </c>
    </row>
    <row r="234" spans="1:8" s="195" customFormat="1" ht="12" x14ac:dyDescent="0.2">
      <c r="A234" s="35" t="s">
        <v>346</v>
      </c>
      <c r="B234" s="36" t="s">
        <v>177</v>
      </c>
      <c r="C234" s="36" t="s">
        <v>206</v>
      </c>
      <c r="D234" s="36" t="s">
        <v>556</v>
      </c>
      <c r="E234" s="36" t="s">
        <v>347</v>
      </c>
      <c r="F234" s="37">
        <f>200-35-70</f>
        <v>95</v>
      </c>
      <c r="G234" s="46">
        <v>0</v>
      </c>
      <c r="H234" s="46">
        <v>0</v>
      </c>
    </row>
    <row r="235" spans="1:8" s="195" customFormat="1" ht="12" x14ac:dyDescent="0.2">
      <c r="A235" s="29" t="s">
        <v>509</v>
      </c>
      <c r="B235" s="30" t="s">
        <v>177</v>
      </c>
      <c r="C235" s="30" t="s">
        <v>375</v>
      </c>
      <c r="D235" s="40"/>
      <c r="E235" s="30"/>
      <c r="F235" s="31">
        <f>F236</f>
        <v>12775.065999999999</v>
      </c>
      <c r="G235" s="31">
        <f t="shared" ref="G235:H236" si="67">G236</f>
        <v>12543.099999999999</v>
      </c>
      <c r="H235" s="31">
        <f t="shared" si="67"/>
        <v>12543.099999999999</v>
      </c>
    </row>
    <row r="236" spans="1:8" s="195" customFormat="1" ht="12" x14ac:dyDescent="0.2">
      <c r="A236" s="39" t="s">
        <v>510</v>
      </c>
      <c r="B236" s="40" t="s">
        <v>177</v>
      </c>
      <c r="C236" s="40" t="s">
        <v>375</v>
      </c>
      <c r="D236" s="40" t="s">
        <v>511</v>
      </c>
      <c r="E236" s="40"/>
      <c r="F236" s="41">
        <f>F237</f>
        <v>12775.065999999999</v>
      </c>
      <c r="G236" s="41">
        <f t="shared" si="67"/>
        <v>12543.099999999999</v>
      </c>
      <c r="H236" s="41">
        <f t="shared" si="67"/>
        <v>12543.099999999999</v>
      </c>
    </row>
    <row r="237" spans="1:8" s="195" customFormat="1" ht="12" x14ac:dyDescent="0.2">
      <c r="A237" s="29" t="s">
        <v>512</v>
      </c>
      <c r="B237" s="30" t="s">
        <v>177</v>
      </c>
      <c r="C237" s="30" t="s">
        <v>375</v>
      </c>
      <c r="D237" s="40" t="s">
        <v>513</v>
      </c>
      <c r="E237" s="30"/>
      <c r="F237" s="31">
        <f>F238+F240+F242</f>
        <v>12775.065999999999</v>
      </c>
      <c r="G237" s="31">
        <f>G238+G240+G242</f>
        <v>12543.099999999999</v>
      </c>
      <c r="H237" s="31">
        <f>H238+H240+H242</f>
        <v>12543.099999999999</v>
      </c>
    </row>
    <row r="238" spans="1:8" s="195" customFormat="1" ht="24" x14ac:dyDescent="0.2">
      <c r="A238" s="35" t="s">
        <v>185</v>
      </c>
      <c r="B238" s="36" t="s">
        <v>177</v>
      </c>
      <c r="C238" s="36" t="s">
        <v>375</v>
      </c>
      <c r="D238" s="36" t="s">
        <v>513</v>
      </c>
      <c r="E238" s="36" t="s">
        <v>186</v>
      </c>
      <c r="F238" s="37">
        <f>F239</f>
        <v>9196.0659999999989</v>
      </c>
      <c r="G238" s="37">
        <f t="shared" ref="G238:H238" si="68">G239</f>
        <v>8964.0999999999985</v>
      </c>
      <c r="H238" s="37">
        <f t="shared" si="68"/>
        <v>8964.0999999999985</v>
      </c>
    </row>
    <row r="239" spans="1:8" s="196" customFormat="1" ht="12" x14ac:dyDescent="0.2">
      <c r="A239" s="35" t="s">
        <v>266</v>
      </c>
      <c r="B239" s="36" t="s">
        <v>177</v>
      </c>
      <c r="C239" s="36" t="s">
        <v>375</v>
      </c>
      <c r="D239" s="36" t="s">
        <v>513</v>
      </c>
      <c r="E239" s="36" t="s">
        <v>267</v>
      </c>
      <c r="F239" s="37">
        <f>6854.9+30+2079.2+231.966</f>
        <v>9196.0659999999989</v>
      </c>
      <c r="G239" s="37">
        <f>6854.9+30+2079.2</f>
        <v>8964.0999999999985</v>
      </c>
      <c r="H239" s="37">
        <f>6854.9+30+2079.2</f>
        <v>8964.0999999999985</v>
      </c>
    </row>
    <row r="240" spans="1:8" s="195" customFormat="1" ht="12" x14ac:dyDescent="0.2">
      <c r="A240" s="35" t="s">
        <v>195</v>
      </c>
      <c r="B240" s="36" t="s">
        <v>177</v>
      </c>
      <c r="C240" s="36" t="s">
        <v>375</v>
      </c>
      <c r="D240" s="36" t="s">
        <v>513</v>
      </c>
      <c r="E240" s="36" t="s">
        <v>196</v>
      </c>
      <c r="F240" s="37">
        <f>F241</f>
        <v>2975</v>
      </c>
      <c r="G240" s="37">
        <f>G241</f>
        <v>2975</v>
      </c>
      <c r="H240" s="37">
        <f>H241</f>
        <v>2975</v>
      </c>
    </row>
    <row r="241" spans="1:8" s="195" customFormat="1" ht="12" x14ac:dyDescent="0.2">
      <c r="A241" s="35" t="s">
        <v>197</v>
      </c>
      <c r="B241" s="36" t="s">
        <v>177</v>
      </c>
      <c r="C241" s="36" t="s">
        <v>375</v>
      </c>
      <c r="D241" s="36" t="s">
        <v>513</v>
      </c>
      <c r="E241" s="36" t="s">
        <v>198</v>
      </c>
      <c r="F241" s="37">
        <v>2975</v>
      </c>
      <c r="G241" s="37">
        <v>2975</v>
      </c>
      <c r="H241" s="37">
        <v>2975</v>
      </c>
    </row>
    <row r="242" spans="1:8" s="196" customFormat="1" ht="12" x14ac:dyDescent="0.2">
      <c r="A242" s="35" t="s">
        <v>199</v>
      </c>
      <c r="B242" s="36" t="s">
        <v>177</v>
      </c>
      <c r="C242" s="36" t="s">
        <v>375</v>
      </c>
      <c r="D242" s="36" t="s">
        <v>513</v>
      </c>
      <c r="E242" s="36" t="s">
        <v>200</v>
      </c>
      <c r="F242" s="37">
        <f>F243</f>
        <v>604</v>
      </c>
      <c r="G242" s="37">
        <f t="shared" ref="G242:H242" si="69">G243</f>
        <v>604</v>
      </c>
      <c r="H242" s="37">
        <f t="shared" si="69"/>
        <v>604</v>
      </c>
    </row>
    <row r="243" spans="1:8" s="195" customFormat="1" ht="12" x14ac:dyDescent="0.2">
      <c r="A243" s="35" t="s">
        <v>201</v>
      </c>
      <c r="B243" s="36" t="s">
        <v>177</v>
      </c>
      <c r="C243" s="36" t="s">
        <v>375</v>
      </c>
      <c r="D243" s="36" t="s">
        <v>513</v>
      </c>
      <c r="E243" s="36" t="s">
        <v>202</v>
      </c>
      <c r="F243" s="37">
        <v>604</v>
      </c>
      <c r="G243" s="37">
        <v>604</v>
      </c>
      <c r="H243" s="37">
        <v>604</v>
      </c>
    </row>
    <row r="244" spans="1:8" s="195" customFormat="1" ht="12" x14ac:dyDescent="0.2">
      <c r="A244" s="29" t="s">
        <v>403</v>
      </c>
      <c r="B244" s="30" t="s">
        <v>177</v>
      </c>
      <c r="C244" s="30" t="s">
        <v>404</v>
      </c>
      <c r="D244" s="40"/>
      <c r="E244" s="30"/>
      <c r="F244" s="31">
        <f>F245+F271</f>
        <v>117912.17850000001</v>
      </c>
      <c r="G244" s="31">
        <f>G245+G271</f>
        <v>96633.8</v>
      </c>
      <c r="H244" s="31">
        <f>H245+H271</f>
        <v>86633.8</v>
      </c>
    </row>
    <row r="245" spans="1:8" s="195" customFormat="1" ht="12" x14ac:dyDescent="0.2">
      <c r="A245" s="39" t="s">
        <v>405</v>
      </c>
      <c r="B245" s="40" t="s">
        <v>177</v>
      </c>
      <c r="C245" s="40" t="s">
        <v>404</v>
      </c>
      <c r="D245" s="40" t="s">
        <v>406</v>
      </c>
      <c r="E245" s="40"/>
      <c r="F245" s="41">
        <f>F246+F255</f>
        <v>117306.68100000001</v>
      </c>
      <c r="G245" s="41">
        <f>G246+G255</f>
        <v>96633.8</v>
      </c>
      <c r="H245" s="41">
        <f>H246+H255</f>
        <v>86633.8</v>
      </c>
    </row>
    <row r="246" spans="1:8" s="195" customFormat="1" ht="12" x14ac:dyDescent="0.2">
      <c r="A246" s="39" t="s">
        <v>407</v>
      </c>
      <c r="B246" s="40" t="s">
        <v>177</v>
      </c>
      <c r="C246" s="40" t="s">
        <v>404</v>
      </c>
      <c r="D246" s="40" t="s">
        <v>408</v>
      </c>
      <c r="E246" s="40"/>
      <c r="F246" s="41">
        <f>F247+F250</f>
        <v>10126.437</v>
      </c>
      <c r="G246" s="41">
        <v>10633.8</v>
      </c>
      <c r="H246" s="41">
        <v>10633.8</v>
      </c>
    </row>
    <row r="247" spans="1:8" s="195" customFormat="1" ht="12" x14ac:dyDescent="0.2">
      <c r="A247" s="29" t="s">
        <v>183</v>
      </c>
      <c r="B247" s="30" t="s">
        <v>177</v>
      </c>
      <c r="C247" s="30" t="s">
        <v>404</v>
      </c>
      <c r="D247" s="30" t="s">
        <v>409</v>
      </c>
      <c r="E247" s="30"/>
      <c r="F247" s="31">
        <f>F248</f>
        <v>9223.7829999999994</v>
      </c>
      <c r="G247" s="31">
        <v>8407.7999999999993</v>
      </c>
      <c r="H247" s="31">
        <v>8407.7999999999993</v>
      </c>
    </row>
    <row r="248" spans="1:8" s="196" customFormat="1" ht="24" x14ac:dyDescent="0.2">
      <c r="A248" s="35" t="s">
        <v>185</v>
      </c>
      <c r="B248" s="36" t="s">
        <v>177</v>
      </c>
      <c r="C248" s="36" t="s">
        <v>404</v>
      </c>
      <c r="D248" s="36" t="s">
        <v>409</v>
      </c>
      <c r="E248" s="36" t="s">
        <v>186</v>
      </c>
      <c r="F248" s="37">
        <f>F249</f>
        <v>9223.7829999999994</v>
      </c>
      <c r="G248" s="37">
        <v>8407.7999999999993</v>
      </c>
      <c r="H248" s="37">
        <v>8407.7999999999993</v>
      </c>
    </row>
    <row r="249" spans="1:8" s="196" customFormat="1" ht="12" x14ac:dyDescent="0.2">
      <c r="A249" s="35" t="s">
        <v>187</v>
      </c>
      <c r="B249" s="36" t="s">
        <v>177</v>
      </c>
      <c r="C249" s="36" t="s">
        <v>404</v>
      </c>
      <c r="D249" s="36" t="s">
        <v>409</v>
      </c>
      <c r="E249" s="36" t="s">
        <v>188</v>
      </c>
      <c r="F249" s="37">
        <f>8407.8+815.983</f>
        <v>9223.7829999999994</v>
      </c>
      <c r="G249" s="37">
        <v>8407.7999999999993</v>
      </c>
      <c r="H249" s="37">
        <v>8407.7999999999993</v>
      </c>
    </row>
    <row r="250" spans="1:8" s="195" customFormat="1" ht="12" x14ac:dyDescent="0.2">
      <c r="A250" s="29" t="s">
        <v>193</v>
      </c>
      <c r="B250" s="30" t="s">
        <v>177</v>
      </c>
      <c r="C250" s="30" t="s">
        <v>404</v>
      </c>
      <c r="D250" s="30" t="s">
        <v>410</v>
      </c>
      <c r="E250" s="30"/>
      <c r="F250" s="31">
        <f>F251+F253</f>
        <v>902.654</v>
      </c>
      <c r="G250" s="31">
        <f>G251+G253</f>
        <v>2226</v>
      </c>
      <c r="H250" s="31">
        <f>H251+H253</f>
        <v>2226</v>
      </c>
    </row>
    <row r="251" spans="1:8" s="195" customFormat="1" ht="12" x14ac:dyDescent="0.2">
      <c r="A251" s="35" t="s">
        <v>195</v>
      </c>
      <c r="B251" s="36" t="s">
        <v>177</v>
      </c>
      <c r="C251" s="36" t="s">
        <v>404</v>
      </c>
      <c r="D251" s="36" t="s">
        <v>410</v>
      </c>
      <c r="E251" s="36" t="s">
        <v>196</v>
      </c>
      <c r="F251" s="37">
        <v>260</v>
      </c>
      <c r="G251" s="37">
        <v>260</v>
      </c>
      <c r="H251" s="37">
        <v>260</v>
      </c>
    </row>
    <row r="252" spans="1:8" s="196" customFormat="1" ht="12" x14ac:dyDescent="0.2">
      <c r="A252" s="35" t="s">
        <v>197</v>
      </c>
      <c r="B252" s="36" t="s">
        <v>177</v>
      </c>
      <c r="C252" s="36" t="s">
        <v>404</v>
      </c>
      <c r="D252" s="36" t="s">
        <v>410</v>
      </c>
      <c r="E252" s="36" t="s">
        <v>198</v>
      </c>
      <c r="F252" s="37">
        <v>260</v>
      </c>
      <c r="G252" s="37">
        <v>260</v>
      </c>
      <c r="H252" s="37">
        <v>260</v>
      </c>
    </row>
    <row r="253" spans="1:8" s="195" customFormat="1" ht="12" x14ac:dyDescent="0.2">
      <c r="A253" s="35" t="s">
        <v>199</v>
      </c>
      <c r="B253" s="36" t="s">
        <v>177</v>
      </c>
      <c r="C253" s="36" t="s">
        <v>404</v>
      </c>
      <c r="D253" s="36" t="s">
        <v>410</v>
      </c>
      <c r="E253" s="36" t="s">
        <v>200</v>
      </c>
      <c r="F253" s="37">
        <f>F254</f>
        <v>642.654</v>
      </c>
      <c r="G253" s="37">
        <v>1966</v>
      </c>
      <c r="H253" s="37">
        <v>1966</v>
      </c>
    </row>
    <row r="254" spans="1:8" s="195" customFormat="1" ht="12" x14ac:dyDescent="0.2">
      <c r="A254" s="35" t="s">
        <v>201</v>
      </c>
      <c r="B254" s="36" t="s">
        <v>177</v>
      </c>
      <c r="C254" s="36" t="s">
        <v>404</v>
      </c>
      <c r="D254" s="36" t="s">
        <v>410</v>
      </c>
      <c r="E254" s="36" t="s">
        <v>202</v>
      </c>
      <c r="F254" s="37">
        <f>880-237.346</f>
        <v>642.654</v>
      </c>
      <c r="G254" s="37">
        <v>1966</v>
      </c>
      <c r="H254" s="37">
        <v>1966</v>
      </c>
    </row>
    <row r="255" spans="1:8" s="195" customFormat="1" ht="12" x14ac:dyDescent="0.2">
      <c r="A255" s="42" t="s">
        <v>497</v>
      </c>
      <c r="B255" s="40" t="s">
        <v>177</v>
      </c>
      <c r="C255" s="40" t="s">
        <v>404</v>
      </c>
      <c r="D255" s="40" t="s">
        <v>498</v>
      </c>
      <c r="E255" s="40"/>
      <c r="F255" s="41">
        <f>F256+F265+F268</f>
        <v>107180.24400000001</v>
      </c>
      <c r="G255" s="41">
        <f>G256+G265</f>
        <v>86000</v>
      </c>
      <c r="H255" s="41">
        <f>H256+H265</f>
        <v>76000</v>
      </c>
    </row>
    <row r="256" spans="1:8" s="195" customFormat="1" ht="12" x14ac:dyDescent="0.2">
      <c r="A256" s="29" t="s">
        <v>499</v>
      </c>
      <c r="B256" s="30" t="s">
        <v>177</v>
      </c>
      <c r="C256" s="30" t="s">
        <v>404</v>
      </c>
      <c r="D256" s="30" t="s">
        <v>500</v>
      </c>
      <c r="E256" s="30"/>
      <c r="F256" s="31">
        <f>F257+F260</f>
        <v>14180.244000000001</v>
      </c>
      <c r="G256" s="31">
        <f>G257+G260</f>
        <v>13000</v>
      </c>
      <c r="H256" s="31">
        <f>H257+H260</f>
        <v>13000</v>
      </c>
    </row>
    <row r="257" spans="1:8" s="195" customFormat="1" ht="12" x14ac:dyDescent="0.2">
      <c r="A257" s="29" t="s">
        <v>183</v>
      </c>
      <c r="B257" s="30" t="s">
        <v>177</v>
      </c>
      <c r="C257" s="30" t="s">
        <v>404</v>
      </c>
      <c r="D257" s="30" t="s">
        <v>501</v>
      </c>
      <c r="E257" s="30"/>
      <c r="F257" s="31">
        <f>F258</f>
        <v>12123.244000000001</v>
      </c>
      <c r="G257" s="31">
        <f t="shared" ref="G257:H258" si="70">G258</f>
        <v>10943</v>
      </c>
      <c r="H257" s="31">
        <f t="shared" si="70"/>
        <v>10943</v>
      </c>
    </row>
    <row r="258" spans="1:8" s="195" customFormat="1" ht="24" x14ac:dyDescent="0.2">
      <c r="A258" s="35" t="s">
        <v>185</v>
      </c>
      <c r="B258" s="36" t="s">
        <v>177</v>
      </c>
      <c r="C258" s="36" t="s">
        <v>404</v>
      </c>
      <c r="D258" s="36" t="s">
        <v>501</v>
      </c>
      <c r="E258" s="36" t="s">
        <v>186</v>
      </c>
      <c r="F258" s="37">
        <f>F259</f>
        <v>12123.244000000001</v>
      </c>
      <c r="G258" s="37">
        <f t="shared" si="70"/>
        <v>10943</v>
      </c>
      <c r="H258" s="37">
        <f t="shared" si="70"/>
        <v>10943</v>
      </c>
    </row>
    <row r="259" spans="1:8" s="195" customFormat="1" ht="12" x14ac:dyDescent="0.2">
      <c r="A259" s="35" t="s">
        <v>187</v>
      </c>
      <c r="B259" s="36" t="s">
        <v>177</v>
      </c>
      <c r="C259" s="36" t="s">
        <v>404</v>
      </c>
      <c r="D259" s="36" t="s">
        <v>501</v>
      </c>
      <c r="E259" s="36" t="s">
        <v>188</v>
      </c>
      <c r="F259" s="37">
        <f>10943+1180.244</f>
        <v>12123.244000000001</v>
      </c>
      <c r="G259" s="37">
        <v>10943</v>
      </c>
      <c r="H259" s="37">
        <v>10943</v>
      </c>
    </row>
    <row r="260" spans="1:8" s="194" customFormat="1" ht="12" x14ac:dyDescent="0.2">
      <c r="A260" s="29" t="s">
        <v>193</v>
      </c>
      <c r="B260" s="30" t="s">
        <v>177</v>
      </c>
      <c r="C260" s="30" t="s">
        <v>404</v>
      </c>
      <c r="D260" s="30" t="s">
        <v>502</v>
      </c>
      <c r="E260" s="30"/>
      <c r="F260" s="31">
        <f>F261</f>
        <v>2057</v>
      </c>
      <c r="G260" s="31">
        <f t="shared" ref="G260:H260" si="71">G261</f>
        <v>2057</v>
      </c>
      <c r="H260" s="31">
        <f t="shared" si="71"/>
        <v>2057</v>
      </c>
    </row>
    <row r="261" spans="1:8" s="195" customFormat="1" ht="12" x14ac:dyDescent="0.2">
      <c r="A261" s="35" t="s">
        <v>195</v>
      </c>
      <c r="B261" s="36" t="s">
        <v>177</v>
      </c>
      <c r="C261" s="36" t="s">
        <v>404</v>
      </c>
      <c r="D261" s="36" t="s">
        <v>502</v>
      </c>
      <c r="E261" s="36" t="s">
        <v>196</v>
      </c>
      <c r="F261" s="37">
        <f>F262+F263</f>
        <v>2057</v>
      </c>
      <c r="G261" s="37">
        <f>G262+G263</f>
        <v>2057</v>
      </c>
      <c r="H261" s="37">
        <f>H262+H263</f>
        <v>2057</v>
      </c>
    </row>
    <row r="262" spans="1:8" s="195" customFormat="1" ht="12" x14ac:dyDescent="0.2">
      <c r="A262" s="35" t="s">
        <v>197</v>
      </c>
      <c r="B262" s="36" t="s">
        <v>177</v>
      </c>
      <c r="C262" s="36" t="s">
        <v>404</v>
      </c>
      <c r="D262" s="36" t="s">
        <v>502</v>
      </c>
      <c r="E262" s="36" t="s">
        <v>198</v>
      </c>
      <c r="F262" s="37">
        <v>2037</v>
      </c>
      <c r="G262" s="37">
        <v>2037</v>
      </c>
      <c r="H262" s="37">
        <v>2037</v>
      </c>
    </row>
    <row r="263" spans="1:8" s="195" customFormat="1" ht="12" x14ac:dyDescent="0.2">
      <c r="A263" s="35" t="s">
        <v>199</v>
      </c>
      <c r="B263" s="36" t="s">
        <v>177</v>
      </c>
      <c r="C263" s="36" t="s">
        <v>404</v>
      </c>
      <c r="D263" s="36" t="s">
        <v>502</v>
      </c>
      <c r="E263" s="36" t="s">
        <v>200</v>
      </c>
      <c r="F263" s="37">
        <f>F264</f>
        <v>20</v>
      </c>
      <c r="G263" s="37">
        <f t="shared" ref="G263:H263" si="72">G264</f>
        <v>20</v>
      </c>
      <c r="H263" s="37">
        <f t="shared" si="72"/>
        <v>20</v>
      </c>
    </row>
    <row r="264" spans="1:8" s="195" customFormat="1" ht="12" x14ac:dyDescent="0.2">
      <c r="A264" s="35" t="s">
        <v>201</v>
      </c>
      <c r="B264" s="36" t="s">
        <v>177</v>
      </c>
      <c r="C264" s="36" t="s">
        <v>404</v>
      </c>
      <c r="D264" s="36" t="s">
        <v>502</v>
      </c>
      <c r="E264" s="36" t="s">
        <v>202</v>
      </c>
      <c r="F264" s="37">
        <v>20</v>
      </c>
      <c r="G264" s="37">
        <v>20</v>
      </c>
      <c r="H264" s="37">
        <v>20</v>
      </c>
    </row>
    <row r="265" spans="1:8" s="195" customFormat="1" ht="24" x14ac:dyDescent="0.2">
      <c r="A265" s="42" t="s">
        <v>503</v>
      </c>
      <c r="B265" s="40" t="s">
        <v>177</v>
      </c>
      <c r="C265" s="40" t="s">
        <v>404</v>
      </c>
      <c r="D265" s="40" t="s">
        <v>504</v>
      </c>
      <c r="E265" s="40"/>
      <c r="F265" s="41">
        <f>F266</f>
        <v>93000</v>
      </c>
      <c r="G265" s="41">
        <f t="shared" ref="G265:H266" si="73">G266</f>
        <v>73000</v>
      </c>
      <c r="H265" s="41">
        <f t="shared" si="73"/>
        <v>63000</v>
      </c>
    </row>
    <row r="266" spans="1:8" s="195" customFormat="1" ht="12" x14ac:dyDescent="0.2">
      <c r="A266" s="35" t="s">
        <v>199</v>
      </c>
      <c r="B266" s="36" t="s">
        <v>177</v>
      </c>
      <c r="C266" s="36" t="s">
        <v>404</v>
      </c>
      <c r="D266" s="36" t="s">
        <v>504</v>
      </c>
      <c r="E266" s="36" t="s">
        <v>200</v>
      </c>
      <c r="F266" s="37">
        <f>F267</f>
        <v>93000</v>
      </c>
      <c r="G266" s="37">
        <f t="shared" si="73"/>
        <v>73000</v>
      </c>
      <c r="H266" s="37">
        <f t="shared" si="73"/>
        <v>63000</v>
      </c>
    </row>
    <row r="267" spans="1:8" s="195" customFormat="1" ht="24" x14ac:dyDescent="0.2">
      <c r="A267" s="35" t="s">
        <v>297</v>
      </c>
      <c r="B267" s="36" t="s">
        <v>177</v>
      </c>
      <c r="C267" s="36" t="s">
        <v>404</v>
      </c>
      <c r="D267" s="36" t="s">
        <v>504</v>
      </c>
      <c r="E267" s="36" t="s">
        <v>298</v>
      </c>
      <c r="F267" s="37">
        <f>93000+10000-10000</f>
        <v>93000</v>
      </c>
      <c r="G267" s="37">
        <v>73000</v>
      </c>
      <c r="H267" s="37">
        <v>63000</v>
      </c>
    </row>
    <row r="268" spans="1:8" s="196" customFormat="1" ht="12" x14ac:dyDescent="0.2">
      <c r="A268" s="29" t="s">
        <v>505</v>
      </c>
      <c r="B268" s="30" t="s">
        <v>177</v>
      </c>
      <c r="C268" s="30" t="s">
        <v>404</v>
      </c>
      <c r="D268" s="51" t="s">
        <v>506</v>
      </c>
      <c r="E268" s="30"/>
      <c r="F268" s="45">
        <f t="shared" ref="F268:H269" si="74">F269</f>
        <v>0</v>
      </c>
      <c r="G268" s="45">
        <f t="shared" si="74"/>
        <v>0</v>
      </c>
      <c r="H268" s="45">
        <f t="shared" si="74"/>
        <v>0</v>
      </c>
    </row>
    <row r="269" spans="1:8" s="195" customFormat="1" ht="12" x14ac:dyDescent="0.2">
      <c r="A269" s="35" t="s">
        <v>195</v>
      </c>
      <c r="B269" s="36" t="s">
        <v>177</v>
      </c>
      <c r="C269" s="36" t="s">
        <v>404</v>
      </c>
      <c r="D269" s="44" t="s">
        <v>506</v>
      </c>
      <c r="E269" s="36" t="s">
        <v>196</v>
      </c>
      <c r="F269" s="46">
        <f t="shared" si="74"/>
        <v>0</v>
      </c>
      <c r="G269" s="46">
        <f t="shared" si="74"/>
        <v>0</v>
      </c>
      <c r="H269" s="46">
        <f t="shared" si="74"/>
        <v>0</v>
      </c>
    </row>
    <row r="270" spans="1:8" s="195" customFormat="1" ht="12" x14ac:dyDescent="0.2">
      <c r="A270" s="35" t="s">
        <v>197</v>
      </c>
      <c r="B270" s="36" t="s">
        <v>177</v>
      </c>
      <c r="C270" s="36" t="s">
        <v>404</v>
      </c>
      <c r="D270" s="44" t="s">
        <v>506</v>
      </c>
      <c r="E270" s="36" t="s">
        <v>198</v>
      </c>
      <c r="F270" s="46">
        <f>7000-7000</f>
        <v>0</v>
      </c>
      <c r="G270" s="46">
        <v>0</v>
      </c>
      <c r="H270" s="46">
        <v>0</v>
      </c>
    </row>
    <row r="271" spans="1:8" s="196" customFormat="1" ht="12" x14ac:dyDescent="0.2">
      <c r="A271" s="129" t="s">
        <v>178</v>
      </c>
      <c r="B271" s="83" t="s">
        <v>177</v>
      </c>
      <c r="C271" s="83" t="s">
        <v>404</v>
      </c>
      <c r="D271" s="83" t="s">
        <v>189</v>
      </c>
      <c r="E271" s="74"/>
      <c r="F271" s="127">
        <f>F272</f>
        <v>605.49749999999995</v>
      </c>
      <c r="G271" s="127">
        <f t="shared" ref="G271:G272" si="75">G272</f>
        <v>0</v>
      </c>
      <c r="H271" s="46"/>
    </row>
    <row r="272" spans="1:8" s="195" customFormat="1" ht="12" x14ac:dyDescent="0.2">
      <c r="A272" s="75" t="s">
        <v>180</v>
      </c>
      <c r="B272" s="74" t="s">
        <v>177</v>
      </c>
      <c r="C272" s="74" t="s">
        <v>404</v>
      </c>
      <c r="D272" s="74" t="s">
        <v>190</v>
      </c>
      <c r="E272" s="74"/>
      <c r="F272" s="127">
        <f>F273</f>
        <v>605.49749999999995</v>
      </c>
      <c r="G272" s="127">
        <f t="shared" si="75"/>
        <v>0</v>
      </c>
      <c r="H272" s="46"/>
    </row>
    <row r="273" spans="1:8" s="195" customFormat="1" ht="12" x14ac:dyDescent="0.2">
      <c r="A273" s="75" t="s">
        <v>203</v>
      </c>
      <c r="B273" s="74" t="s">
        <v>177</v>
      </c>
      <c r="C273" s="74" t="s">
        <v>404</v>
      </c>
      <c r="D273" s="74" t="s">
        <v>204</v>
      </c>
      <c r="E273" s="74"/>
      <c r="F273" s="127">
        <f t="shared" ref="F273:G274" si="76">F274</f>
        <v>605.49749999999995</v>
      </c>
      <c r="G273" s="248">
        <f t="shared" si="76"/>
        <v>0</v>
      </c>
      <c r="H273" s="46"/>
    </row>
    <row r="274" spans="1:8" s="195" customFormat="1" ht="24" x14ac:dyDescent="0.2">
      <c r="A274" s="73" t="s">
        <v>185</v>
      </c>
      <c r="B274" s="12" t="s">
        <v>177</v>
      </c>
      <c r="C274" s="12" t="s">
        <v>404</v>
      </c>
      <c r="D274" s="12" t="s">
        <v>204</v>
      </c>
      <c r="E274" s="12" t="s">
        <v>186</v>
      </c>
      <c r="F274" s="115">
        <f t="shared" si="76"/>
        <v>605.49749999999995</v>
      </c>
      <c r="G274" s="249">
        <f t="shared" si="76"/>
        <v>0</v>
      </c>
      <c r="H274" s="46"/>
    </row>
    <row r="275" spans="1:8" s="195" customFormat="1" ht="12" x14ac:dyDescent="0.2">
      <c r="A275" s="73" t="s">
        <v>187</v>
      </c>
      <c r="B275" s="12" t="s">
        <v>177</v>
      </c>
      <c r="C275" s="12" t="s">
        <v>404</v>
      </c>
      <c r="D275" s="12" t="s">
        <v>204</v>
      </c>
      <c r="E275" s="12" t="s">
        <v>188</v>
      </c>
      <c r="F275" s="115">
        <f>302.74875+302.74875</f>
        <v>605.49749999999995</v>
      </c>
      <c r="G275" s="249">
        <v>0</v>
      </c>
      <c r="H275" s="46"/>
    </row>
    <row r="276" spans="1:8" s="195" customFormat="1" ht="12" x14ac:dyDescent="0.2">
      <c r="A276" s="29" t="s">
        <v>411</v>
      </c>
      <c r="B276" s="30" t="s">
        <v>177</v>
      </c>
      <c r="C276" s="30" t="s">
        <v>412</v>
      </c>
      <c r="D276" s="40"/>
      <c r="E276" s="36"/>
      <c r="F276" s="31">
        <f>F277+F318</f>
        <v>825917.50167000003</v>
      </c>
      <c r="G276" s="31">
        <f t="shared" ref="G276:H276" si="77">G277</f>
        <v>743857.5</v>
      </c>
      <c r="H276" s="31">
        <f t="shared" si="77"/>
        <v>227054.5</v>
      </c>
    </row>
    <row r="277" spans="1:8" s="195" customFormat="1" ht="13.5" customHeight="1" x14ac:dyDescent="0.2">
      <c r="A277" s="39" t="s">
        <v>405</v>
      </c>
      <c r="B277" s="40" t="s">
        <v>177</v>
      </c>
      <c r="C277" s="40" t="s">
        <v>412</v>
      </c>
      <c r="D277" s="40" t="s">
        <v>406</v>
      </c>
      <c r="E277" s="40"/>
      <c r="F277" s="41">
        <f>F278+F309</f>
        <v>810917.50167000003</v>
      </c>
      <c r="G277" s="41">
        <f>G278+G309</f>
        <v>743857.5</v>
      </c>
      <c r="H277" s="41">
        <f>H278+H309</f>
        <v>227054.5</v>
      </c>
    </row>
    <row r="278" spans="1:8" s="195" customFormat="1" ht="24" x14ac:dyDescent="0.2">
      <c r="A278" s="42" t="s">
        <v>413</v>
      </c>
      <c r="B278" s="40" t="s">
        <v>177</v>
      </c>
      <c r="C278" s="40" t="s">
        <v>412</v>
      </c>
      <c r="D278" s="40" t="s">
        <v>414</v>
      </c>
      <c r="E278" s="40"/>
      <c r="F278" s="41">
        <f>F279+F284+F287+F290+F295+F300+F303+F306</f>
        <v>802530.92267</v>
      </c>
      <c r="G278" s="41">
        <f>G279+G284+G287+G290+G295+G300+G303+G306</f>
        <v>735697.5</v>
      </c>
      <c r="H278" s="41">
        <f>H279+H284+H287+H290+H295+H300+H303+H306</f>
        <v>218894.5</v>
      </c>
    </row>
    <row r="279" spans="1:8" s="195" customFormat="1" ht="24" x14ac:dyDescent="0.2">
      <c r="A279" s="29" t="s">
        <v>415</v>
      </c>
      <c r="B279" s="30" t="s">
        <v>177</v>
      </c>
      <c r="C279" s="30" t="s">
        <v>412</v>
      </c>
      <c r="D279" s="30" t="s">
        <v>416</v>
      </c>
      <c r="E279" s="30"/>
      <c r="F279" s="31">
        <f>F280+F282</f>
        <v>25041.930670000002</v>
      </c>
      <c r="G279" s="31">
        <f>G280+G282</f>
        <v>22591</v>
      </c>
      <c r="H279" s="31">
        <f>H280+H282</f>
        <v>24077</v>
      </c>
    </row>
    <row r="280" spans="1:8" s="195" customFormat="1" ht="12" x14ac:dyDescent="0.2">
      <c r="A280" s="35" t="s">
        <v>195</v>
      </c>
      <c r="B280" s="36" t="s">
        <v>177</v>
      </c>
      <c r="C280" s="36" t="s">
        <v>412</v>
      </c>
      <c r="D280" s="36" t="s">
        <v>416</v>
      </c>
      <c r="E280" s="36" t="s">
        <v>196</v>
      </c>
      <c r="F280" s="37">
        <f>F281</f>
        <v>24461.930670000002</v>
      </c>
      <c r="G280" s="37">
        <f t="shared" ref="G280:H280" si="78">G281</f>
        <v>22591</v>
      </c>
      <c r="H280" s="37">
        <f t="shared" si="78"/>
        <v>24077</v>
      </c>
    </row>
    <row r="281" spans="1:8" s="195" customFormat="1" ht="12" x14ac:dyDescent="0.2">
      <c r="A281" s="35" t="s">
        <v>197</v>
      </c>
      <c r="B281" s="36" t="s">
        <v>177</v>
      </c>
      <c r="C281" s="36" t="s">
        <v>412</v>
      </c>
      <c r="D281" s="36" t="s">
        <v>416</v>
      </c>
      <c r="E281" s="36" t="s">
        <v>198</v>
      </c>
      <c r="F281" s="37">
        <f>21717+3324.93067-580</f>
        <v>24461.930670000002</v>
      </c>
      <c r="G281" s="37">
        <v>22591</v>
      </c>
      <c r="H281" s="37">
        <v>24077</v>
      </c>
    </row>
    <row r="282" spans="1:8" s="194" customFormat="1" ht="12" x14ac:dyDescent="0.2">
      <c r="A282" s="35" t="s">
        <v>344</v>
      </c>
      <c r="B282" s="36" t="s">
        <v>177</v>
      </c>
      <c r="C282" s="36" t="s">
        <v>412</v>
      </c>
      <c r="D282" s="36" t="s">
        <v>416</v>
      </c>
      <c r="E282" s="36" t="s">
        <v>345</v>
      </c>
      <c r="F282" s="37">
        <f>F283</f>
        <v>580</v>
      </c>
      <c r="G282" s="46">
        <f>G283</f>
        <v>0</v>
      </c>
      <c r="H282" s="46">
        <f>H283</f>
        <v>0</v>
      </c>
    </row>
    <row r="283" spans="1:8" s="195" customFormat="1" ht="12" x14ac:dyDescent="0.2">
      <c r="A283" s="35" t="s">
        <v>346</v>
      </c>
      <c r="B283" s="36" t="s">
        <v>177</v>
      </c>
      <c r="C283" s="36" t="s">
        <v>412</v>
      </c>
      <c r="D283" s="36" t="s">
        <v>416</v>
      </c>
      <c r="E283" s="36" t="s">
        <v>347</v>
      </c>
      <c r="F283" s="37">
        <v>580</v>
      </c>
      <c r="G283" s="46">
        <v>0</v>
      </c>
      <c r="H283" s="46">
        <v>0</v>
      </c>
    </row>
    <row r="284" spans="1:8" s="195" customFormat="1" ht="24" x14ac:dyDescent="0.2">
      <c r="A284" s="29" t="s">
        <v>775</v>
      </c>
      <c r="B284" s="30" t="s">
        <v>177</v>
      </c>
      <c r="C284" s="30" t="s">
        <v>412</v>
      </c>
      <c r="D284" s="30" t="s">
        <v>418</v>
      </c>
      <c r="E284" s="30"/>
      <c r="F284" s="31">
        <f>F285</f>
        <v>2600</v>
      </c>
      <c r="G284" s="45">
        <f t="shared" ref="G284:H285" si="79">G285</f>
        <v>0</v>
      </c>
      <c r="H284" s="45">
        <f t="shared" si="79"/>
        <v>0</v>
      </c>
    </row>
    <row r="285" spans="1:8" s="195" customFormat="1" ht="12" x14ac:dyDescent="0.2">
      <c r="A285" s="35" t="s">
        <v>195</v>
      </c>
      <c r="B285" s="36" t="s">
        <v>177</v>
      </c>
      <c r="C285" s="36" t="s">
        <v>412</v>
      </c>
      <c r="D285" s="36" t="s">
        <v>418</v>
      </c>
      <c r="E285" s="36" t="s">
        <v>196</v>
      </c>
      <c r="F285" s="37">
        <f>F286</f>
        <v>2600</v>
      </c>
      <c r="G285" s="46">
        <f t="shared" si="79"/>
        <v>0</v>
      </c>
      <c r="H285" s="46">
        <f t="shared" si="79"/>
        <v>0</v>
      </c>
    </row>
    <row r="286" spans="1:8" s="194" customFormat="1" ht="12" x14ac:dyDescent="0.2">
      <c r="A286" s="35" t="s">
        <v>197</v>
      </c>
      <c r="B286" s="36" t="s">
        <v>177</v>
      </c>
      <c r="C286" s="36" t="s">
        <v>412</v>
      </c>
      <c r="D286" s="36" t="s">
        <v>418</v>
      </c>
      <c r="E286" s="36" t="s">
        <v>198</v>
      </c>
      <c r="F286" s="37">
        <v>2600</v>
      </c>
      <c r="G286" s="46">
        <v>0</v>
      </c>
      <c r="H286" s="46">
        <v>0</v>
      </c>
    </row>
    <row r="287" spans="1:8" s="196" customFormat="1" ht="12" x14ac:dyDescent="0.2">
      <c r="A287" s="70" t="s">
        <v>419</v>
      </c>
      <c r="B287" s="30" t="s">
        <v>177</v>
      </c>
      <c r="C287" s="30" t="s">
        <v>412</v>
      </c>
      <c r="D287" s="30" t="s">
        <v>420</v>
      </c>
      <c r="E287" s="30"/>
      <c r="F287" s="31">
        <f>F288</f>
        <v>4000</v>
      </c>
      <c r="G287" s="45">
        <f t="shared" ref="G287:H288" si="80">G288</f>
        <v>4600</v>
      </c>
      <c r="H287" s="45">
        <f t="shared" si="80"/>
        <v>4600</v>
      </c>
    </row>
    <row r="288" spans="1:8" s="195" customFormat="1" ht="12" x14ac:dyDescent="0.2">
      <c r="A288" s="35" t="s">
        <v>195</v>
      </c>
      <c r="B288" s="36" t="s">
        <v>177</v>
      </c>
      <c r="C288" s="36" t="s">
        <v>412</v>
      </c>
      <c r="D288" s="36" t="s">
        <v>420</v>
      </c>
      <c r="E288" s="36" t="s">
        <v>196</v>
      </c>
      <c r="F288" s="37">
        <f>F289</f>
        <v>4000</v>
      </c>
      <c r="G288" s="46">
        <f t="shared" si="80"/>
        <v>4600</v>
      </c>
      <c r="H288" s="46">
        <f t="shared" si="80"/>
        <v>4600</v>
      </c>
    </row>
    <row r="289" spans="1:8" s="195" customFormat="1" ht="12" x14ac:dyDescent="0.2">
      <c r="A289" s="35" t="s">
        <v>197</v>
      </c>
      <c r="B289" s="36" t="s">
        <v>177</v>
      </c>
      <c r="C289" s="36" t="s">
        <v>412</v>
      </c>
      <c r="D289" s="36" t="s">
        <v>420</v>
      </c>
      <c r="E289" s="36" t="s">
        <v>198</v>
      </c>
      <c r="F289" s="37">
        <v>4000</v>
      </c>
      <c r="G289" s="46">
        <f>6600-2000</f>
        <v>4600</v>
      </c>
      <c r="H289" s="46">
        <f>6600-2000</f>
        <v>4600</v>
      </c>
    </row>
    <row r="290" spans="1:8" s="195" customFormat="1" ht="13.5" customHeight="1" x14ac:dyDescent="0.2">
      <c r="A290" s="39" t="s">
        <v>421</v>
      </c>
      <c r="B290" s="40" t="s">
        <v>177</v>
      </c>
      <c r="C290" s="40" t="s">
        <v>412</v>
      </c>
      <c r="D290" s="40" t="s">
        <v>422</v>
      </c>
      <c r="E290" s="40"/>
      <c r="F290" s="41">
        <f>F291+F293</f>
        <v>176397</v>
      </c>
      <c r="G290" s="41">
        <f>G291+G293</f>
        <v>179793.5</v>
      </c>
      <c r="H290" s="41">
        <f>H291+H293</f>
        <v>179793.5</v>
      </c>
    </row>
    <row r="291" spans="1:8" s="195" customFormat="1" ht="12" x14ac:dyDescent="0.2">
      <c r="A291" s="35" t="s">
        <v>195</v>
      </c>
      <c r="B291" s="36" t="s">
        <v>177</v>
      </c>
      <c r="C291" s="36" t="s">
        <v>412</v>
      </c>
      <c r="D291" s="36" t="s">
        <v>422</v>
      </c>
      <c r="E291" s="36" t="s">
        <v>196</v>
      </c>
      <c r="F291" s="37">
        <f>F292</f>
        <v>56421.834999999999</v>
      </c>
      <c r="G291" s="37">
        <f t="shared" ref="G291:H291" si="81">G292</f>
        <v>179793.5</v>
      </c>
      <c r="H291" s="37">
        <f t="shared" si="81"/>
        <v>179793.5</v>
      </c>
    </row>
    <row r="292" spans="1:8" s="195" customFormat="1" ht="12" x14ac:dyDescent="0.2">
      <c r="A292" s="35" t="s">
        <v>197</v>
      </c>
      <c r="B292" s="36" t="s">
        <v>177</v>
      </c>
      <c r="C292" s="36" t="s">
        <v>412</v>
      </c>
      <c r="D292" s="36" t="s">
        <v>422</v>
      </c>
      <c r="E292" s="36" t="s">
        <v>198</v>
      </c>
      <c r="F292" s="37">
        <f>113268.322-56846.487</f>
        <v>56421.834999999999</v>
      </c>
      <c r="G292" s="37">
        <v>179793.5</v>
      </c>
      <c r="H292" s="37">
        <v>179793.5</v>
      </c>
    </row>
    <row r="293" spans="1:8" s="195" customFormat="1" ht="12" x14ac:dyDescent="0.2">
      <c r="A293" s="35" t="s">
        <v>344</v>
      </c>
      <c r="B293" s="36" t="s">
        <v>177</v>
      </c>
      <c r="C293" s="36" t="s">
        <v>412</v>
      </c>
      <c r="D293" s="36" t="s">
        <v>422</v>
      </c>
      <c r="E293" s="36" t="s">
        <v>345</v>
      </c>
      <c r="F293" s="37">
        <f>F294</f>
        <v>119975.16500000001</v>
      </c>
      <c r="G293" s="46">
        <f t="shared" ref="G293:H293" si="82">G294</f>
        <v>0</v>
      </c>
      <c r="H293" s="46">
        <f t="shared" si="82"/>
        <v>0</v>
      </c>
    </row>
    <row r="294" spans="1:8" s="196" customFormat="1" ht="12" x14ac:dyDescent="0.2">
      <c r="A294" s="35" t="s">
        <v>346</v>
      </c>
      <c r="B294" s="36" t="s">
        <v>177</v>
      </c>
      <c r="C294" s="36" t="s">
        <v>412</v>
      </c>
      <c r="D294" s="36" t="s">
        <v>422</v>
      </c>
      <c r="E294" s="36" t="s">
        <v>347</v>
      </c>
      <c r="F294" s="37">
        <f>63128.678+56846.487</f>
        <v>119975.16500000001</v>
      </c>
      <c r="G294" s="46">
        <v>0</v>
      </c>
      <c r="H294" s="46">
        <v>0</v>
      </c>
    </row>
    <row r="295" spans="1:8" s="195" customFormat="1" ht="24" x14ac:dyDescent="0.2">
      <c r="A295" s="39" t="s">
        <v>423</v>
      </c>
      <c r="B295" s="40" t="s">
        <v>177</v>
      </c>
      <c r="C295" s="40" t="s">
        <v>412</v>
      </c>
      <c r="D295" s="40" t="s">
        <v>424</v>
      </c>
      <c r="E295" s="40"/>
      <c r="F295" s="41">
        <f>F296+F298</f>
        <v>10423.999999999998</v>
      </c>
      <c r="G295" s="41">
        <f>G296+G298</f>
        <v>10424</v>
      </c>
      <c r="H295" s="41">
        <f>H296+H298</f>
        <v>10424</v>
      </c>
    </row>
    <row r="296" spans="1:8" s="196" customFormat="1" ht="12" x14ac:dyDescent="0.2">
      <c r="A296" s="35" t="s">
        <v>195</v>
      </c>
      <c r="B296" s="36" t="s">
        <v>177</v>
      </c>
      <c r="C296" s="36" t="s">
        <v>412</v>
      </c>
      <c r="D296" s="36" t="s">
        <v>424</v>
      </c>
      <c r="E296" s="36" t="s">
        <v>196</v>
      </c>
      <c r="F296" s="37">
        <f>F297</f>
        <v>4109.5550000000003</v>
      </c>
      <c r="G296" s="37">
        <f t="shared" ref="G296:H296" si="83">G297</f>
        <v>10424</v>
      </c>
      <c r="H296" s="37">
        <f t="shared" si="83"/>
        <v>10424</v>
      </c>
    </row>
    <row r="297" spans="1:8" s="195" customFormat="1" ht="12" x14ac:dyDescent="0.2">
      <c r="A297" s="35" t="s">
        <v>197</v>
      </c>
      <c r="B297" s="36" t="s">
        <v>177</v>
      </c>
      <c r="C297" s="36" t="s">
        <v>412</v>
      </c>
      <c r="D297" s="36" t="s">
        <v>424</v>
      </c>
      <c r="E297" s="36" t="s">
        <v>198</v>
      </c>
      <c r="F297" s="37">
        <f>7101.438-2991.883</f>
        <v>4109.5550000000003</v>
      </c>
      <c r="G297" s="37">
        <v>10424</v>
      </c>
      <c r="H297" s="37">
        <v>10424</v>
      </c>
    </row>
    <row r="298" spans="1:8" s="195" customFormat="1" ht="12" x14ac:dyDescent="0.2">
      <c r="A298" s="35" t="s">
        <v>344</v>
      </c>
      <c r="B298" s="36" t="s">
        <v>177</v>
      </c>
      <c r="C298" s="36" t="s">
        <v>412</v>
      </c>
      <c r="D298" s="36" t="s">
        <v>424</v>
      </c>
      <c r="E298" s="36" t="s">
        <v>345</v>
      </c>
      <c r="F298" s="37">
        <f>F299</f>
        <v>6314.4449999999979</v>
      </c>
      <c r="G298" s="46">
        <f t="shared" ref="G298:H298" si="84">G299</f>
        <v>0</v>
      </c>
      <c r="H298" s="46">
        <f t="shared" si="84"/>
        <v>0</v>
      </c>
    </row>
    <row r="299" spans="1:8" s="196" customFormat="1" ht="12" x14ac:dyDescent="0.2">
      <c r="A299" s="35" t="s">
        <v>346</v>
      </c>
      <c r="B299" s="36" t="s">
        <v>177</v>
      </c>
      <c r="C299" s="36" t="s">
        <v>412</v>
      </c>
      <c r="D299" s="36" t="s">
        <v>424</v>
      </c>
      <c r="E299" s="36" t="s">
        <v>347</v>
      </c>
      <c r="F299" s="37">
        <f>3322.562+30000-30000+2991.883</f>
        <v>6314.4449999999979</v>
      </c>
      <c r="G299" s="46">
        <v>0</v>
      </c>
      <c r="H299" s="46">
        <v>0</v>
      </c>
    </row>
    <row r="300" spans="1:8" s="195" customFormat="1" ht="24" x14ac:dyDescent="0.2">
      <c r="A300" s="39" t="s">
        <v>425</v>
      </c>
      <c r="B300" s="40" t="s">
        <v>426</v>
      </c>
      <c r="C300" s="40" t="s">
        <v>412</v>
      </c>
      <c r="D300" s="40" t="s">
        <v>427</v>
      </c>
      <c r="E300" s="40"/>
      <c r="F300" s="41">
        <f>F301</f>
        <v>575606</v>
      </c>
      <c r="G300" s="41">
        <f t="shared" ref="G300:H301" si="85">G301</f>
        <v>518289</v>
      </c>
      <c r="H300" s="47">
        <f t="shared" si="85"/>
        <v>0</v>
      </c>
    </row>
    <row r="301" spans="1:8" s="195" customFormat="1" ht="12" x14ac:dyDescent="0.2">
      <c r="A301" s="35" t="s">
        <v>195</v>
      </c>
      <c r="B301" s="36" t="s">
        <v>177</v>
      </c>
      <c r="C301" s="36" t="s">
        <v>412</v>
      </c>
      <c r="D301" s="36" t="s">
        <v>427</v>
      </c>
      <c r="E301" s="36" t="s">
        <v>196</v>
      </c>
      <c r="F301" s="37">
        <f>F302</f>
        <v>575606</v>
      </c>
      <c r="G301" s="37">
        <f t="shared" si="85"/>
        <v>518289</v>
      </c>
      <c r="H301" s="46">
        <f t="shared" si="85"/>
        <v>0</v>
      </c>
    </row>
    <row r="302" spans="1:8" s="196" customFormat="1" ht="12" x14ac:dyDescent="0.2">
      <c r="A302" s="35" t="s">
        <v>197</v>
      </c>
      <c r="B302" s="36" t="s">
        <v>177</v>
      </c>
      <c r="C302" s="36" t="s">
        <v>412</v>
      </c>
      <c r="D302" s="36" t="s">
        <v>427</v>
      </c>
      <c r="E302" s="36" t="s">
        <v>198</v>
      </c>
      <c r="F302" s="37">
        <v>575606</v>
      </c>
      <c r="G302" s="37">
        <v>518289</v>
      </c>
      <c r="H302" s="46">
        <v>0</v>
      </c>
    </row>
    <row r="303" spans="1:8" s="195" customFormat="1" ht="24" x14ac:dyDescent="0.2">
      <c r="A303" s="29" t="s">
        <v>428</v>
      </c>
      <c r="B303" s="30" t="s">
        <v>177</v>
      </c>
      <c r="C303" s="30" t="s">
        <v>412</v>
      </c>
      <c r="D303" s="30" t="s">
        <v>429</v>
      </c>
      <c r="E303" s="30"/>
      <c r="F303" s="31">
        <f t="shared" ref="F303:H304" si="86">F304</f>
        <v>3961.9919999999984</v>
      </c>
      <c r="G303" s="45">
        <f t="shared" si="86"/>
        <v>0</v>
      </c>
      <c r="H303" s="45">
        <f t="shared" si="86"/>
        <v>0</v>
      </c>
    </row>
    <row r="304" spans="1:8" s="194" customFormat="1" ht="12" x14ac:dyDescent="0.2">
      <c r="A304" s="35" t="s">
        <v>195</v>
      </c>
      <c r="B304" s="36" t="s">
        <v>177</v>
      </c>
      <c r="C304" s="36" t="s">
        <v>412</v>
      </c>
      <c r="D304" s="36" t="s">
        <v>429</v>
      </c>
      <c r="E304" s="36" t="s">
        <v>196</v>
      </c>
      <c r="F304" s="37">
        <f t="shared" si="86"/>
        <v>3961.9919999999984</v>
      </c>
      <c r="G304" s="46">
        <f t="shared" si="86"/>
        <v>0</v>
      </c>
      <c r="H304" s="46">
        <f t="shared" si="86"/>
        <v>0</v>
      </c>
    </row>
    <row r="305" spans="1:8" s="225" customFormat="1" ht="12" x14ac:dyDescent="0.2">
      <c r="A305" s="35" t="s">
        <v>197</v>
      </c>
      <c r="B305" s="36" t="s">
        <v>177</v>
      </c>
      <c r="C305" s="36" t="s">
        <v>412</v>
      </c>
      <c r="D305" s="36" t="s">
        <v>429</v>
      </c>
      <c r="E305" s="36" t="s">
        <v>198</v>
      </c>
      <c r="F305" s="37">
        <f>9217.732+973+2988.96-9217.7</f>
        <v>3961.9919999999984</v>
      </c>
      <c r="G305" s="46">
        <v>0</v>
      </c>
      <c r="H305" s="46">
        <v>0</v>
      </c>
    </row>
    <row r="306" spans="1:8" s="194" customFormat="1" ht="16.5" customHeight="1" x14ac:dyDescent="0.2">
      <c r="A306" s="29" t="s">
        <v>776</v>
      </c>
      <c r="B306" s="30" t="s">
        <v>177</v>
      </c>
      <c r="C306" s="30" t="s">
        <v>412</v>
      </c>
      <c r="D306" s="30" t="s">
        <v>431</v>
      </c>
      <c r="E306" s="30"/>
      <c r="F306" s="31">
        <f t="shared" ref="F306:H307" si="87">F307</f>
        <v>4500</v>
      </c>
      <c r="G306" s="45">
        <f t="shared" si="87"/>
        <v>0</v>
      </c>
      <c r="H306" s="45">
        <f t="shared" si="87"/>
        <v>0</v>
      </c>
    </row>
    <row r="307" spans="1:8" s="194" customFormat="1" ht="12" x14ac:dyDescent="0.2">
      <c r="A307" s="35" t="s">
        <v>195</v>
      </c>
      <c r="B307" s="36" t="s">
        <v>177</v>
      </c>
      <c r="C307" s="36" t="s">
        <v>412</v>
      </c>
      <c r="D307" s="36" t="s">
        <v>431</v>
      </c>
      <c r="E307" s="36" t="s">
        <v>196</v>
      </c>
      <c r="F307" s="37">
        <f t="shared" si="87"/>
        <v>4500</v>
      </c>
      <c r="G307" s="46">
        <f t="shared" si="87"/>
        <v>0</v>
      </c>
      <c r="H307" s="46">
        <f t="shared" si="87"/>
        <v>0</v>
      </c>
    </row>
    <row r="308" spans="1:8" s="225" customFormat="1" ht="12" x14ac:dyDescent="0.2">
      <c r="A308" s="35" t="s">
        <v>197</v>
      </c>
      <c r="B308" s="36" t="s">
        <v>177</v>
      </c>
      <c r="C308" s="36" t="s">
        <v>412</v>
      </c>
      <c r="D308" s="36" t="s">
        <v>431</v>
      </c>
      <c r="E308" s="36" t="s">
        <v>198</v>
      </c>
      <c r="F308" s="37">
        <v>4500</v>
      </c>
      <c r="G308" s="46">
        <v>0</v>
      </c>
      <c r="H308" s="46">
        <v>0</v>
      </c>
    </row>
    <row r="309" spans="1:8" s="194" customFormat="1" ht="12" x14ac:dyDescent="0.2">
      <c r="A309" s="39" t="s">
        <v>777</v>
      </c>
      <c r="B309" s="40" t="s">
        <v>177</v>
      </c>
      <c r="C309" s="40" t="s">
        <v>412</v>
      </c>
      <c r="D309" s="40" t="s">
        <v>433</v>
      </c>
      <c r="E309" s="40"/>
      <c r="F309" s="41">
        <f>F310</f>
        <v>8386.5789999999997</v>
      </c>
      <c r="G309" s="41">
        <f t="shared" ref="G309:H310" si="88">G310</f>
        <v>8160</v>
      </c>
      <c r="H309" s="41">
        <f t="shared" si="88"/>
        <v>8160</v>
      </c>
    </row>
    <row r="310" spans="1:8" s="194" customFormat="1" ht="12" x14ac:dyDescent="0.2">
      <c r="A310" s="60" t="s">
        <v>434</v>
      </c>
      <c r="B310" s="49" t="s">
        <v>177</v>
      </c>
      <c r="C310" s="49" t="s">
        <v>412</v>
      </c>
      <c r="D310" s="49" t="s">
        <v>435</v>
      </c>
      <c r="E310" s="49"/>
      <c r="F310" s="53">
        <f>F311</f>
        <v>8386.5789999999997</v>
      </c>
      <c r="G310" s="53">
        <f t="shared" si="88"/>
        <v>8160</v>
      </c>
      <c r="H310" s="53">
        <f t="shared" si="88"/>
        <v>8160</v>
      </c>
    </row>
    <row r="311" spans="1:8" s="225" customFormat="1" ht="12" x14ac:dyDescent="0.2">
      <c r="A311" s="29" t="s">
        <v>263</v>
      </c>
      <c r="B311" s="30" t="s">
        <v>177</v>
      </c>
      <c r="C311" s="30" t="s">
        <v>412</v>
      </c>
      <c r="D311" s="30" t="s">
        <v>435</v>
      </c>
      <c r="E311" s="30"/>
      <c r="F311" s="31">
        <f>F312+F314+F316</f>
        <v>8386.5789999999997</v>
      </c>
      <c r="G311" s="31">
        <f>G312+G314+G316</f>
        <v>8160</v>
      </c>
      <c r="H311" s="31">
        <f>H312+H314+H316</f>
        <v>8160</v>
      </c>
    </row>
    <row r="312" spans="1:8" s="195" customFormat="1" ht="24" x14ac:dyDescent="0.2">
      <c r="A312" s="35" t="s">
        <v>185</v>
      </c>
      <c r="B312" s="36" t="s">
        <v>177</v>
      </c>
      <c r="C312" s="36" t="s">
        <v>412</v>
      </c>
      <c r="D312" s="36" t="s">
        <v>435</v>
      </c>
      <c r="E312" s="36" t="s">
        <v>186</v>
      </c>
      <c r="F312" s="37">
        <f>F313</f>
        <v>8040.5789999999997</v>
      </c>
      <c r="G312" s="37">
        <f t="shared" ref="G312:H312" si="89">G313</f>
        <v>7914</v>
      </c>
      <c r="H312" s="37">
        <f t="shared" si="89"/>
        <v>7914</v>
      </c>
    </row>
    <row r="313" spans="1:8" s="195" customFormat="1" ht="12" x14ac:dyDescent="0.2">
      <c r="A313" s="35" t="s">
        <v>266</v>
      </c>
      <c r="B313" s="36" t="s">
        <v>177</v>
      </c>
      <c r="C313" s="36" t="s">
        <v>412</v>
      </c>
      <c r="D313" s="36" t="s">
        <v>435</v>
      </c>
      <c r="E313" s="36" t="s">
        <v>267</v>
      </c>
      <c r="F313" s="37">
        <f>7914+126.579</f>
        <v>8040.5789999999997</v>
      </c>
      <c r="G313" s="37">
        <v>7914</v>
      </c>
      <c r="H313" s="37">
        <v>7914</v>
      </c>
    </row>
    <row r="314" spans="1:8" s="225" customFormat="1" ht="12" x14ac:dyDescent="0.2">
      <c r="A314" s="35" t="s">
        <v>195</v>
      </c>
      <c r="B314" s="36" t="s">
        <v>177</v>
      </c>
      <c r="C314" s="36" t="s">
        <v>412</v>
      </c>
      <c r="D314" s="36" t="s">
        <v>435</v>
      </c>
      <c r="E314" s="36" t="s">
        <v>196</v>
      </c>
      <c r="F314" s="37">
        <f>F315</f>
        <v>310</v>
      </c>
      <c r="G314" s="37">
        <f t="shared" ref="G314:H314" si="90">G315</f>
        <v>210</v>
      </c>
      <c r="H314" s="37">
        <f t="shared" si="90"/>
        <v>210</v>
      </c>
    </row>
    <row r="315" spans="1:8" s="196" customFormat="1" ht="12" x14ac:dyDescent="0.2">
      <c r="A315" s="35" t="s">
        <v>197</v>
      </c>
      <c r="B315" s="36" t="s">
        <v>177</v>
      </c>
      <c r="C315" s="36" t="s">
        <v>412</v>
      </c>
      <c r="D315" s="36" t="s">
        <v>435</v>
      </c>
      <c r="E315" s="36" t="s">
        <v>198</v>
      </c>
      <c r="F315" s="37">
        <f>210+100</f>
        <v>310</v>
      </c>
      <c r="G315" s="37">
        <v>210</v>
      </c>
      <c r="H315" s="37">
        <v>210</v>
      </c>
    </row>
    <row r="316" spans="1:8" s="225" customFormat="1" ht="12" x14ac:dyDescent="0.2">
      <c r="A316" s="35" t="s">
        <v>199</v>
      </c>
      <c r="B316" s="36" t="s">
        <v>177</v>
      </c>
      <c r="C316" s="36" t="s">
        <v>412</v>
      </c>
      <c r="D316" s="36" t="s">
        <v>435</v>
      </c>
      <c r="E316" s="36" t="s">
        <v>200</v>
      </c>
      <c r="F316" s="37">
        <f>F317</f>
        <v>36</v>
      </c>
      <c r="G316" s="37">
        <f t="shared" ref="G316:H316" si="91">G317</f>
        <v>36</v>
      </c>
      <c r="H316" s="37">
        <f t="shared" si="91"/>
        <v>36</v>
      </c>
    </row>
    <row r="317" spans="1:8" s="195" customFormat="1" ht="12" x14ac:dyDescent="0.2">
      <c r="A317" s="35" t="s">
        <v>201</v>
      </c>
      <c r="B317" s="36" t="s">
        <v>177</v>
      </c>
      <c r="C317" s="36" t="s">
        <v>412</v>
      </c>
      <c r="D317" s="36" t="s">
        <v>435</v>
      </c>
      <c r="E317" s="36" t="s">
        <v>202</v>
      </c>
      <c r="F317" s="37">
        <v>36</v>
      </c>
      <c r="G317" s="37">
        <v>36</v>
      </c>
      <c r="H317" s="37">
        <v>36</v>
      </c>
    </row>
    <row r="318" spans="1:8" s="195" customFormat="1" ht="12" x14ac:dyDescent="0.2">
      <c r="A318" s="39" t="s">
        <v>510</v>
      </c>
      <c r="B318" s="40" t="s">
        <v>177</v>
      </c>
      <c r="C318" s="40" t="s">
        <v>412</v>
      </c>
      <c r="D318" s="40" t="s">
        <v>511</v>
      </c>
      <c r="E318" s="40"/>
      <c r="F318" s="41">
        <f t="shared" ref="F318:G320" si="92">F319</f>
        <v>15000</v>
      </c>
      <c r="G318" s="47">
        <f t="shared" si="92"/>
        <v>0</v>
      </c>
      <c r="H318" s="47">
        <f>H319</f>
        <v>0</v>
      </c>
    </row>
    <row r="319" spans="1:8" s="195" customFormat="1" ht="12" x14ac:dyDescent="0.2">
      <c r="A319" s="29" t="s">
        <v>514</v>
      </c>
      <c r="B319" s="30" t="s">
        <v>177</v>
      </c>
      <c r="C319" s="30" t="s">
        <v>412</v>
      </c>
      <c r="D319" s="30" t="s">
        <v>515</v>
      </c>
      <c r="E319" s="30"/>
      <c r="F319" s="31">
        <f t="shared" si="92"/>
        <v>15000</v>
      </c>
      <c r="G319" s="45">
        <f t="shared" si="92"/>
        <v>0</v>
      </c>
      <c r="H319" s="45">
        <f>H320</f>
        <v>0</v>
      </c>
    </row>
    <row r="320" spans="1:8" s="195" customFormat="1" ht="12" x14ac:dyDescent="0.2">
      <c r="A320" s="35" t="s">
        <v>195</v>
      </c>
      <c r="B320" s="36" t="s">
        <v>177</v>
      </c>
      <c r="C320" s="36" t="s">
        <v>412</v>
      </c>
      <c r="D320" s="36" t="s">
        <v>515</v>
      </c>
      <c r="E320" s="36" t="s">
        <v>196</v>
      </c>
      <c r="F320" s="37">
        <f t="shared" si="92"/>
        <v>15000</v>
      </c>
      <c r="G320" s="46">
        <f t="shared" si="92"/>
        <v>0</v>
      </c>
      <c r="H320" s="46">
        <f>H321</f>
        <v>0</v>
      </c>
    </row>
    <row r="321" spans="1:8" s="195" customFormat="1" ht="12" x14ac:dyDescent="0.2">
      <c r="A321" s="35" t="s">
        <v>197</v>
      </c>
      <c r="B321" s="36" t="s">
        <v>177</v>
      </c>
      <c r="C321" s="36" t="s">
        <v>412</v>
      </c>
      <c r="D321" s="36" t="s">
        <v>515</v>
      </c>
      <c r="E321" s="36" t="s">
        <v>198</v>
      </c>
      <c r="F321" s="37">
        <v>15000</v>
      </c>
      <c r="G321" s="46">
        <v>0</v>
      </c>
      <c r="H321" s="46">
        <v>0</v>
      </c>
    </row>
    <row r="322" spans="1:8" s="195" customFormat="1" ht="12" x14ac:dyDescent="0.2">
      <c r="A322" s="29" t="s">
        <v>291</v>
      </c>
      <c r="B322" s="30" t="s">
        <v>177</v>
      </c>
      <c r="C322" s="30" t="s">
        <v>292</v>
      </c>
      <c r="D322" s="40"/>
      <c r="E322" s="30"/>
      <c r="F322" s="31">
        <f>F323+F342+F347+F357</f>
        <v>62790.368999999999</v>
      </c>
      <c r="G322" s="31">
        <f>G323+G342+G347+G357</f>
        <v>41500</v>
      </c>
      <c r="H322" s="31">
        <f>H323+H342+H347+H357</f>
        <v>53075</v>
      </c>
    </row>
    <row r="323" spans="1:8" s="195" customFormat="1" ht="24" x14ac:dyDescent="0.2">
      <c r="A323" s="42" t="s">
        <v>293</v>
      </c>
      <c r="B323" s="40" t="s">
        <v>177</v>
      </c>
      <c r="C323" s="40" t="s">
        <v>292</v>
      </c>
      <c r="D323" s="40" t="s">
        <v>294</v>
      </c>
      <c r="E323" s="40"/>
      <c r="F323" s="47">
        <f>F324+F327+F330+F333+F336+F339</f>
        <v>3000</v>
      </c>
      <c r="G323" s="47">
        <f>G324+G327+G330+G333+G336+G339</f>
        <v>5000</v>
      </c>
      <c r="H323" s="47">
        <f>H324+H327+H330+H333+H336+H339</f>
        <v>5000</v>
      </c>
    </row>
    <row r="324" spans="1:8" s="195" customFormat="1" ht="24" x14ac:dyDescent="0.2">
      <c r="A324" s="50" t="s">
        <v>295</v>
      </c>
      <c r="B324" s="30" t="s">
        <v>177</v>
      </c>
      <c r="C324" s="30" t="s">
        <v>292</v>
      </c>
      <c r="D324" s="30" t="s">
        <v>296</v>
      </c>
      <c r="E324" s="30"/>
      <c r="F324" s="45">
        <f>F325</f>
        <v>500</v>
      </c>
      <c r="G324" s="45">
        <f t="shared" ref="G324:H325" si="93">G325</f>
        <v>700</v>
      </c>
      <c r="H324" s="45">
        <f t="shared" si="93"/>
        <v>700</v>
      </c>
    </row>
    <row r="325" spans="1:8" s="195" customFormat="1" ht="12" x14ac:dyDescent="0.2">
      <c r="A325" s="68" t="s">
        <v>199</v>
      </c>
      <c r="B325" s="36" t="s">
        <v>177</v>
      </c>
      <c r="C325" s="36" t="s">
        <v>292</v>
      </c>
      <c r="D325" s="36" t="s">
        <v>296</v>
      </c>
      <c r="E325" s="36" t="s">
        <v>200</v>
      </c>
      <c r="F325" s="46">
        <f>F326</f>
        <v>500</v>
      </c>
      <c r="G325" s="46">
        <f t="shared" si="93"/>
        <v>700</v>
      </c>
      <c r="H325" s="46">
        <f t="shared" si="93"/>
        <v>700</v>
      </c>
    </row>
    <row r="326" spans="1:8" s="195" customFormat="1" ht="24" x14ac:dyDescent="0.2">
      <c r="A326" s="68" t="s">
        <v>297</v>
      </c>
      <c r="B326" s="36" t="s">
        <v>177</v>
      </c>
      <c r="C326" s="36" t="s">
        <v>292</v>
      </c>
      <c r="D326" s="36" t="s">
        <v>296</v>
      </c>
      <c r="E326" s="36" t="s">
        <v>298</v>
      </c>
      <c r="F326" s="46">
        <v>500</v>
      </c>
      <c r="G326" s="37">
        <v>700</v>
      </c>
      <c r="H326" s="37">
        <v>700</v>
      </c>
    </row>
    <row r="327" spans="1:8" s="195" customFormat="1" ht="36" x14ac:dyDescent="0.2">
      <c r="A327" s="50" t="s">
        <v>299</v>
      </c>
      <c r="B327" s="30" t="s">
        <v>177</v>
      </c>
      <c r="C327" s="30" t="s">
        <v>292</v>
      </c>
      <c r="D327" s="30" t="s">
        <v>300</v>
      </c>
      <c r="E327" s="30"/>
      <c r="F327" s="45">
        <f>F328</f>
        <v>0</v>
      </c>
      <c r="G327" s="45">
        <f t="shared" ref="G327:H328" si="94">G328</f>
        <v>500</v>
      </c>
      <c r="H327" s="45">
        <f t="shared" si="94"/>
        <v>500</v>
      </c>
    </row>
    <row r="328" spans="1:8" s="195" customFormat="1" ht="12" x14ac:dyDescent="0.2">
      <c r="A328" s="68" t="s">
        <v>195</v>
      </c>
      <c r="B328" s="36" t="s">
        <v>177</v>
      </c>
      <c r="C328" s="36" t="s">
        <v>292</v>
      </c>
      <c r="D328" s="36" t="s">
        <v>300</v>
      </c>
      <c r="E328" s="36" t="s">
        <v>196</v>
      </c>
      <c r="F328" s="46">
        <f>F329</f>
        <v>0</v>
      </c>
      <c r="G328" s="46">
        <f t="shared" si="94"/>
        <v>500</v>
      </c>
      <c r="H328" s="46">
        <f t="shared" si="94"/>
        <v>500</v>
      </c>
    </row>
    <row r="329" spans="1:8" s="195" customFormat="1" ht="12" x14ac:dyDescent="0.2">
      <c r="A329" s="68" t="s">
        <v>197</v>
      </c>
      <c r="B329" s="36" t="s">
        <v>177</v>
      </c>
      <c r="C329" s="36" t="s">
        <v>292</v>
      </c>
      <c r="D329" s="36" t="s">
        <v>300</v>
      </c>
      <c r="E329" s="36" t="s">
        <v>198</v>
      </c>
      <c r="F329" s="46">
        <v>0</v>
      </c>
      <c r="G329" s="46">
        <f>500</f>
        <v>500</v>
      </c>
      <c r="H329" s="46">
        <f>500</f>
        <v>500</v>
      </c>
    </row>
    <row r="330" spans="1:8" s="196" customFormat="1" ht="12" x14ac:dyDescent="0.2">
      <c r="A330" s="50" t="s">
        <v>301</v>
      </c>
      <c r="B330" s="30" t="s">
        <v>177</v>
      </c>
      <c r="C330" s="30" t="s">
        <v>292</v>
      </c>
      <c r="D330" s="30" t="s">
        <v>302</v>
      </c>
      <c r="E330" s="30"/>
      <c r="F330" s="45">
        <f>F331</f>
        <v>1300</v>
      </c>
      <c r="G330" s="45">
        <f t="shared" ref="G330:H331" si="95">G331</f>
        <v>0</v>
      </c>
      <c r="H330" s="45">
        <f t="shared" si="95"/>
        <v>0</v>
      </c>
    </row>
    <row r="331" spans="1:8" s="195" customFormat="1" ht="12" x14ac:dyDescent="0.2">
      <c r="A331" s="68" t="s">
        <v>195</v>
      </c>
      <c r="B331" s="36" t="s">
        <v>177</v>
      </c>
      <c r="C331" s="36" t="s">
        <v>292</v>
      </c>
      <c r="D331" s="36" t="s">
        <v>302</v>
      </c>
      <c r="E331" s="36" t="s">
        <v>196</v>
      </c>
      <c r="F331" s="46">
        <f>F332</f>
        <v>1300</v>
      </c>
      <c r="G331" s="46">
        <f t="shared" si="95"/>
        <v>0</v>
      </c>
      <c r="H331" s="46">
        <f t="shared" si="95"/>
        <v>0</v>
      </c>
    </row>
    <row r="332" spans="1:8" s="195" customFormat="1" ht="12" x14ac:dyDescent="0.2">
      <c r="A332" s="68" t="s">
        <v>197</v>
      </c>
      <c r="B332" s="36" t="s">
        <v>177</v>
      </c>
      <c r="C332" s="36" t="s">
        <v>292</v>
      </c>
      <c r="D332" s="36" t="s">
        <v>302</v>
      </c>
      <c r="E332" s="36" t="s">
        <v>198</v>
      </c>
      <c r="F332" s="46">
        <v>1300</v>
      </c>
      <c r="G332" s="46">
        <v>0</v>
      </c>
      <c r="H332" s="46">
        <v>0</v>
      </c>
    </row>
    <row r="333" spans="1:8" s="195" customFormat="1" ht="75.75" customHeight="1" x14ac:dyDescent="0.2">
      <c r="A333" s="50" t="s">
        <v>303</v>
      </c>
      <c r="B333" s="30" t="s">
        <v>177</v>
      </c>
      <c r="C333" s="30" t="s">
        <v>292</v>
      </c>
      <c r="D333" s="30" t="s">
        <v>304</v>
      </c>
      <c r="E333" s="30"/>
      <c r="F333" s="45">
        <f>F334</f>
        <v>1000</v>
      </c>
      <c r="G333" s="45">
        <f t="shared" ref="G333:H334" si="96">G334</f>
        <v>1500</v>
      </c>
      <c r="H333" s="45">
        <f t="shared" si="96"/>
        <v>1500</v>
      </c>
    </row>
    <row r="334" spans="1:8" s="195" customFormat="1" ht="12" x14ac:dyDescent="0.2">
      <c r="A334" s="68" t="s">
        <v>195</v>
      </c>
      <c r="B334" s="36" t="s">
        <v>177</v>
      </c>
      <c r="C334" s="36" t="s">
        <v>292</v>
      </c>
      <c r="D334" s="36" t="s">
        <v>304</v>
      </c>
      <c r="E334" s="36" t="s">
        <v>196</v>
      </c>
      <c r="F334" s="46">
        <f>F335</f>
        <v>1000</v>
      </c>
      <c r="G334" s="46">
        <f t="shared" si="96"/>
        <v>1500</v>
      </c>
      <c r="H334" s="46">
        <f t="shared" si="96"/>
        <v>1500</v>
      </c>
    </row>
    <row r="335" spans="1:8" s="195" customFormat="1" ht="12" x14ac:dyDescent="0.2">
      <c r="A335" s="68" t="s">
        <v>197</v>
      </c>
      <c r="B335" s="36" t="s">
        <v>177</v>
      </c>
      <c r="C335" s="36" t="s">
        <v>292</v>
      </c>
      <c r="D335" s="36" t="s">
        <v>304</v>
      </c>
      <c r="E335" s="36" t="s">
        <v>198</v>
      </c>
      <c r="F335" s="46">
        <v>1000</v>
      </c>
      <c r="G335" s="37">
        <v>1500</v>
      </c>
      <c r="H335" s="37">
        <v>1500</v>
      </c>
    </row>
    <row r="336" spans="1:8" s="195" customFormat="1" ht="36" x14ac:dyDescent="0.2">
      <c r="A336" s="50" t="s">
        <v>305</v>
      </c>
      <c r="B336" s="30" t="s">
        <v>177</v>
      </c>
      <c r="C336" s="30" t="s">
        <v>292</v>
      </c>
      <c r="D336" s="30" t="s">
        <v>306</v>
      </c>
      <c r="E336" s="30"/>
      <c r="F336" s="45">
        <f>F337</f>
        <v>200</v>
      </c>
      <c r="G336" s="45">
        <f t="shared" ref="G336:H337" si="97">G337</f>
        <v>300</v>
      </c>
      <c r="H336" s="45">
        <f t="shared" si="97"/>
        <v>300</v>
      </c>
    </row>
    <row r="337" spans="1:8" s="195" customFormat="1" ht="12" x14ac:dyDescent="0.2">
      <c r="A337" s="68" t="s">
        <v>195</v>
      </c>
      <c r="B337" s="36" t="s">
        <v>177</v>
      </c>
      <c r="C337" s="36" t="s">
        <v>292</v>
      </c>
      <c r="D337" s="36" t="s">
        <v>306</v>
      </c>
      <c r="E337" s="36" t="s">
        <v>196</v>
      </c>
      <c r="F337" s="46">
        <f>F338</f>
        <v>200</v>
      </c>
      <c r="G337" s="46">
        <f t="shared" si="97"/>
        <v>300</v>
      </c>
      <c r="H337" s="46">
        <f t="shared" si="97"/>
        <v>300</v>
      </c>
    </row>
    <row r="338" spans="1:8" s="195" customFormat="1" ht="12" x14ac:dyDescent="0.2">
      <c r="A338" s="68" t="s">
        <v>197</v>
      </c>
      <c r="B338" s="36" t="s">
        <v>177</v>
      </c>
      <c r="C338" s="36" t="s">
        <v>292</v>
      </c>
      <c r="D338" s="36" t="s">
        <v>306</v>
      </c>
      <c r="E338" s="36" t="s">
        <v>198</v>
      </c>
      <c r="F338" s="46">
        <f>200</f>
        <v>200</v>
      </c>
      <c r="G338" s="46">
        <f>300</f>
        <v>300</v>
      </c>
      <c r="H338" s="46">
        <f>300</f>
        <v>300</v>
      </c>
    </row>
    <row r="339" spans="1:8" s="195" customFormat="1" ht="12" x14ac:dyDescent="0.2">
      <c r="A339" s="50" t="s">
        <v>307</v>
      </c>
      <c r="B339" s="30" t="s">
        <v>177</v>
      </c>
      <c r="C339" s="30" t="s">
        <v>292</v>
      </c>
      <c r="D339" s="30" t="s">
        <v>308</v>
      </c>
      <c r="E339" s="30"/>
      <c r="F339" s="45">
        <f>F340</f>
        <v>0</v>
      </c>
      <c r="G339" s="45">
        <f t="shared" ref="G339:H340" si="98">G340</f>
        <v>2000</v>
      </c>
      <c r="H339" s="45">
        <f t="shared" si="98"/>
        <v>2000</v>
      </c>
    </row>
    <row r="340" spans="1:8" s="195" customFormat="1" ht="12" x14ac:dyDescent="0.2">
      <c r="A340" s="68" t="s">
        <v>199</v>
      </c>
      <c r="B340" s="36" t="s">
        <v>177</v>
      </c>
      <c r="C340" s="36" t="s">
        <v>292</v>
      </c>
      <c r="D340" s="36" t="s">
        <v>308</v>
      </c>
      <c r="E340" s="36" t="s">
        <v>200</v>
      </c>
      <c r="F340" s="46">
        <f>F341</f>
        <v>0</v>
      </c>
      <c r="G340" s="46">
        <f t="shared" si="98"/>
        <v>2000</v>
      </c>
      <c r="H340" s="46">
        <f t="shared" si="98"/>
        <v>2000</v>
      </c>
    </row>
    <row r="341" spans="1:8" s="195" customFormat="1" ht="24" x14ac:dyDescent="0.2">
      <c r="A341" s="68" t="s">
        <v>297</v>
      </c>
      <c r="B341" s="36" t="s">
        <v>177</v>
      </c>
      <c r="C341" s="36" t="s">
        <v>292</v>
      </c>
      <c r="D341" s="36" t="s">
        <v>308</v>
      </c>
      <c r="E341" s="36" t="s">
        <v>298</v>
      </c>
      <c r="F341" s="46">
        <f>5000-5000</f>
        <v>0</v>
      </c>
      <c r="G341" s="46">
        <f>2000</f>
        <v>2000</v>
      </c>
      <c r="H341" s="46">
        <f>2000</f>
        <v>2000</v>
      </c>
    </row>
    <row r="342" spans="1:8" s="195" customFormat="1" ht="24" x14ac:dyDescent="0.2">
      <c r="A342" s="39" t="s">
        <v>586</v>
      </c>
      <c r="B342" s="40" t="s">
        <v>177</v>
      </c>
      <c r="C342" s="40" t="s">
        <v>292</v>
      </c>
      <c r="D342" s="40" t="s">
        <v>587</v>
      </c>
      <c r="E342" s="40"/>
      <c r="F342" s="41">
        <f>F343</f>
        <v>3774</v>
      </c>
      <c r="G342" s="41">
        <f t="shared" ref="G342:H345" si="99">G343</f>
        <v>8000</v>
      </c>
      <c r="H342" s="41">
        <f t="shared" si="99"/>
        <v>8000</v>
      </c>
    </row>
    <row r="343" spans="1:8" s="195" customFormat="1" ht="12" x14ac:dyDescent="0.2">
      <c r="A343" s="29" t="s">
        <v>593</v>
      </c>
      <c r="B343" s="30" t="s">
        <v>177</v>
      </c>
      <c r="C343" s="30" t="s">
        <v>292</v>
      </c>
      <c r="D343" s="30" t="s">
        <v>594</v>
      </c>
      <c r="E343" s="30"/>
      <c r="F343" s="31">
        <f>F344</f>
        <v>3774</v>
      </c>
      <c r="G343" s="31">
        <f t="shared" si="99"/>
        <v>8000</v>
      </c>
      <c r="H343" s="31">
        <f t="shared" si="99"/>
        <v>8000</v>
      </c>
    </row>
    <row r="344" spans="1:8" s="195" customFormat="1" ht="12" x14ac:dyDescent="0.2">
      <c r="A344" s="39" t="s">
        <v>595</v>
      </c>
      <c r="B344" s="40" t="s">
        <v>177</v>
      </c>
      <c r="C344" s="40" t="s">
        <v>292</v>
      </c>
      <c r="D344" s="40" t="s">
        <v>596</v>
      </c>
      <c r="E344" s="40"/>
      <c r="F344" s="41">
        <f>F345</f>
        <v>3774</v>
      </c>
      <c r="G344" s="41">
        <f t="shared" si="99"/>
        <v>8000</v>
      </c>
      <c r="H344" s="41">
        <f t="shared" si="99"/>
        <v>8000</v>
      </c>
    </row>
    <row r="345" spans="1:8" s="195" customFormat="1" ht="12" x14ac:dyDescent="0.2">
      <c r="A345" s="35" t="s">
        <v>195</v>
      </c>
      <c r="B345" s="36" t="s">
        <v>177</v>
      </c>
      <c r="C345" s="36" t="s">
        <v>292</v>
      </c>
      <c r="D345" s="36" t="s">
        <v>596</v>
      </c>
      <c r="E345" s="36" t="s">
        <v>196</v>
      </c>
      <c r="F345" s="37">
        <f>F346</f>
        <v>3774</v>
      </c>
      <c r="G345" s="37">
        <f t="shared" si="99"/>
        <v>8000</v>
      </c>
      <c r="H345" s="37">
        <f t="shared" si="99"/>
        <v>8000</v>
      </c>
    </row>
    <row r="346" spans="1:8" s="195" customFormat="1" ht="12" x14ac:dyDescent="0.2">
      <c r="A346" s="35" t="s">
        <v>197</v>
      </c>
      <c r="B346" s="36" t="s">
        <v>177</v>
      </c>
      <c r="C346" s="36" t="s">
        <v>292</v>
      </c>
      <c r="D346" s="36" t="s">
        <v>596</v>
      </c>
      <c r="E346" s="36" t="s">
        <v>198</v>
      </c>
      <c r="F346" s="37">
        <v>3774</v>
      </c>
      <c r="G346" s="37">
        <v>8000</v>
      </c>
      <c r="H346" s="37">
        <v>8000</v>
      </c>
    </row>
    <row r="347" spans="1:8" s="195" customFormat="1" ht="12" x14ac:dyDescent="0.2">
      <c r="A347" s="39" t="s">
        <v>551</v>
      </c>
      <c r="B347" s="40" t="s">
        <v>177</v>
      </c>
      <c r="C347" s="40" t="s">
        <v>292</v>
      </c>
      <c r="D347" s="40" t="s">
        <v>552</v>
      </c>
      <c r="E347" s="40"/>
      <c r="F347" s="41">
        <f>F348+F351+F354</f>
        <v>19520</v>
      </c>
      <c r="G347" s="41">
        <f>G348+G351+G354</f>
        <v>17000</v>
      </c>
      <c r="H347" s="41">
        <f>H348+H351+H354</f>
        <v>28575</v>
      </c>
    </row>
    <row r="348" spans="1:8" s="195" customFormat="1" ht="12" x14ac:dyDescent="0.2">
      <c r="A348" s="29" t="s">
        <v>557</v>
      </c>
      <c r="B348" s="30" t="s">
        <v>177</v>
      </c>
      <c r="C348" s="30" t="s">
        <v>292</v>
      </c>
      <c r="D348" s="30" t="s">
        <v>558</v>
      </c>
      <c r="E348" s="30"/>
      <c r="F348" s="31">
        <f>F349</f>
        <v>19020</v>
      </c>
      <c r="G348" s="31">
        <f t="shared" ref="G348:H349" si="100">G349</f>
        <v>10000</v>
      </c>
      <c r="H348" s="31">
        <f t="shared" si="100"/>
        <v>15000</v>
      </c>
    </row>
    <row r="349" spans="1:8" s="195" customFormat="1" ht="12" x14ac:dyDescent="0.2">
      <c r="A349" s="35" t="s">
        <v>195</v>
      </c>
      <c r="B349" s="36" t="s">
        <v>177</v>
      </c>
      <c r="C349" s="36" t="s">
        <v>292</v>
      </c>
      <c r="D349" s="36" t="s">
        <v>558</v>
      </c>
      <c r="E349" s="36" t="s">
        <v>196</v>
      </c>
      <c r="F349" s="37">
        <f>F350</f>
        <v>19020</v>
      </c>
      <c r="G349" s="37">
        <f>G350</f>
        <v>10000</v>
      </c>
      <c r="H349" s="37">
        <f t="shared" si="100"/>
        <v>15000</v>
      </c>
    </row>
    <row r="350" spans="1:8" s="195" customFormat="1" ht="12" x14ac:dyDescent="0.2">
      <c r="A350" s="35" t="s">
        <v>197</v>
      </c>
      <c r="B350" s="36" t="s">
        <v>177</v>
      </c>
      <c r="C350" s="36" t="s">
        <v>292</v>
      </c>
      <c r="D350" s="36" t="s">
        <v>558</v>
      </c>
      <c r="E350" s="36" t="s">
        <v>198</v>
      </c>
      <c r="F350" s="37">
        <f>15000+4020</f>
        <v>19020</v>
      </c>
      <c r="G350" s="37">
        <v>10000</v>
      </c>
      <c r="H350" s="37">
        <v>15000</v>
      </c>
    </row>
    <row r="351" spans="1:8" s="195" customFormat="1" ht="12" x14ac:dyDescent="0.2">
      <c r="A351" s="29" t="s">
        <v>559</v>
      </c>
      <c r="B351" s="30" t="s">
        <v>177</v>
      </c>
      <c r="C351" s="30" t="s">
        <v>292</v>
      </c>
      <c r="D351" s="30" t="s">
        <v>560</v>
      </c>
      <c r="E351" s="30"/>
      <c r="F351" s="45">
        <f>F352</f>
        <v>0</v>
      </c>
      <c r="G351" s="31">
        <f t="shared" ref="G351:H352" si="101">G352</f>
        <v>6500</v>
      </c>
      <c r="H351" s="31">
        <f t="shared" si="101"/>
        <v>13075</v>
      </c>
    </row>
    <row r="352" spans="1:8" s="195" customFormat="1" ht="12" x14ac:dyDescent="0.2">
      <c r="A352" s="35" t="s">
        <v>195</v>
      </c>
      <c r="B352" s="36" t="s">
        <v>177</v>
      </c>
      <c r="C352" s="36" t="s">
        <v>292</v>
      </c>
      <c r="D352" s="36" t="s">
        <v>560</v>
      </c>
      <c r="E352" s="36" t="s">
        <v>196</v>
      </c>
      <c r="F352" s="46">
        <f>F353</f>
        <v>0</v>
      </c>
      <c r="G352" s="37">
        <f t="shared" si="101"/>
        <v>6500</v>
      </c>
      <c r="H352" s="37">
        <f t="shared" si="101"/>
        <v>13075</v>
      </c>
    </row>
    <row r="353" spans="1:8" s="195" customFormat="1" ht="12" x14ac:dyDescent="0.2">
      <c r="A353" s="35" t="s">
        <v>197</v>
      </c>
      <c r="B353" s="36" t="s">
        <v>177</v>
      </c>
      <c r="C353" s="36" t="s">
        <v>292</v>
      </c>
      <c r="D353" s="36" t="s">
        <v>560</v>
      </c>
      <c r="E353" s="36" t="s">
        <v>198</v>
      </c>
      <c r="F353" s="46">
        <v>0</v>
      </c>
      <c r="G353" s="37">
        <f>11500-5000</f>
        <v>6500</v>
      </c>
      <c r="H353" s="37">
        <v>13075</v>
      </c>
    </row>
    <row r="354" spans="1:8" s="195" customFormat="1" ht="12" x14ac:dyDescent="0.2">
      <c r="A354" s="50" t="s">
        <v>555</v>
      </c>
      <c r="B354" s="30" t="s">
        <v>177</v>
      </c>
      <c r="C354" s="30" t="s">
        <v>292</v>
      </c>
      <c r="D354" s="30" t="s">
        <v>556</v>
      </c>
      <c r="E354" s="30"/>
      <c r="F354" s="31">
        <f>F355</f>
        <v>500</v>
      </c>
      <c r="G354" s="31">
        <f t="shared" ref="G354:H355" si="102">G355</f>
        <v>500</v>
      </c>
      <c r="H354" s="31">
        <f t="shared" si="102"/>
        <v>500</v>
      </c>
    </row>
    <row r="355" spans="1:8" s="195" customFormat="1" ht="12" x14ac:dyDescent="0.2">
      <c r="A355" s="35" t="s">
        <v>195</v>
      </c>
      <c r="B355" s="36" t="s">
        <v>177</v>
      </c>
      <c r="C355" s="36" t="s">
        <v>292</v>
      </c>
      <c r="D355" s="36" t="s">
        <v>556</v>
      </c>
      <c r="E355" s="36" t="s">
        <v>196</v>
      </c>
      <c r="F355" s="37">
        <f>F356</f>
        <v>500</v>
      </c>
      <c r="G355" s="37">
        <f t="shared" si="102"/>
        <v>500</v>
      </c>
      <c r="H355" s="37">
        <f t="shared" si="102"/>
        <v>500</v>
      </c>
    </row>
    <row r="356" spans="1:8" s="195" customFormat="1" ht="12" x14ac:dyDescent="0.2">
      <c r="A356" s="35" t="s">
        <v>197</v>
      </c>
      <c r="B356" s="36" t="s">
        <v>177</v>
      </c>
      <c r="C356" s="36" t="s">
        <v>292</v>
      </c>
      <c r="D356" s="36" t="s">
        <v>556</v>
      </c>
      <c r="E356" s="36" t="s">
        <v>198</v>
      </c>
      <c r="F356" s="37">
        <v>500</v>
      </c>
      <c r="G356" s="37">
        <v>500</v>
      </c>
      <c r="H356" s="37">
        <v>500</v>
      </c>
    </row>
    <row r="357" spans="1:8" s="195" customFormat="1" ht="12" x14ac:dyDescent="0.2">
      <c r="A357" s="39" t="s">
        <v>178</v>
      </c>
      <c r="B357" s="40" t="s">
        <v>177</v>
      </c>
      <c r="C357" s="40" t="s">
        <v>292</v>
      </c>
      <c r="D357" s="40" t="s">
        <v>189</v>
      </c>
      <c r="E357" s="40"/>
      <c r="F357" s="41">
        <f>F358</f>
        <v>36496.368999999999</v>
      </c>
      <c r="G357" s="41">
        <f t="shared" ref="G357:H357" si="103">G358</f>
        <v>11500</v>
      </c>
      <c r="H357" s="41">
        <f t="shared" si="103"/>
        <v>11500</v>
      </c>
    </row>
    <row r="358" spans="1:8" s="195" customFormat="1" ht="12" x14ac:dyDescent="0.2">
      <c r="A358" s="29" t="s">
        <v>180</v>
      </c>
      <c r="B358" s="30" t="s">
        <v>177</v>
      </c>
      <c r="C358" s="30" t="s">
        <v>292</v>
      </c>
      <c r="D358" s="30" t="s">
        <v>190</v>
      </c>
      <c r="E358" s="30"/>
      <c r="F358" s="31">
        <f>F359+F362+F365+F371+F377+F368</f>
        <v>36496.368999999999</v>
      </c>
      <c r="G358" s="31">
        <f>G359+G362+G365+G371+G377+G368</f>
        <v>11500</v>
      </c>
      <c r="H358" s="31">
        <f>H359+H362+H365+H371+H377+H368</f>
        <v>11500</v>
      </c>
    </row>
    <row r="359" spans="1:8" s="195" customFormat="1" ht="12" x14ac:dyDescent="0.2">
      <c r="A359" s="29" t="s">
        <v>309</v>
      </c>
      <c r="B359" s="30" t="s">
        <v>177</v>
      </c>
      <c r="C359" s="30" t="s">
        <v>292</v>
      </c>
      <c r="D359" s="30" t="s">
        <v>310</v>
      </c>
      <c r="E359" s="30"/>
      <c r="F359" s="31">
        <f>F360</f>
        <v>6000</v>
      </c>
      <c r="G359" s="31">
        <f t="shared" ref="G359:H360" si="104">G360</f>
        <v>5000</v>
      </c>
      <c r="H359" s="31">
        <f t="shared" si="104"/>
        <v>5000</v>
      </c>
    </row>
    <row r="360" spans="1:8" s="195" customFormat="1" ht="12" x14ac:dyDescent="0.2">
      <c r="A360" s="68" t="s">
        <v>195</v>
      </c>
      <c r="B360" s="36" t="s">
        <v>177</v>
      </c>
      <c r="C360" s="36" t="s">
        <v>292</v>
      </c>
      <c r="D360" s="36" t="s">
        <v>310</v>
      </c>
      <c r="E360" s="36" t="s">
        <v>196</v>
      </c>
      <c r="F360" s="37">
        <f>F361</f>
        <v>6000</v>
      </c>
      <c r="G360" s="37">
        <f t="shared" si="104"/>
        <v>5000</v>
      </c>
      <c r="H360" s="37">
        <f t="shared" si="104"/>
        <v>5000</v>
      </c>
    </row>
    <row r="361" spans="1:8" s="195" customFormat="1" ht="12" x14ac:dyDescent="0.2">
      <c r="A361" s="68" t="s">
        <v>197</v>
      </c>
      <c r="B361" s="36" t="s">
        <v>177</v>
      </c>
      <c r="C361" s="36" t="s">
        <v>292</v>
      </c>
      <c r="D361" s="36" t="s">
        <v>310</v>
      </c>
      <c r="E361" s="36" t="s">
        <v>198</v>
      </c>
      <c r="F361" s="37">
        <f>5000+1000</f>
        <v>6000</v>
      </c>
      <c r="G361" s="37">
        <v>5000</v>
      </c>
      <c r="H361" s="37">
        <v>5000</v>
      </c>
    </row>
    <row r="362" spans="1:8" s="195" customFormat="1" ht="12" x14ac:dyDescent="0.2">
      <c r="A362" s="29" t="s">
        <v>311</v>
      </c>
      <c r="B362" s="30" t="s">
        <v>177</v>
      </c>
      <c r="C362" s="30" t="s">
        <v>292</v>
      </c>
      <c r="D362" s="30" t="s">
        <v>312</v>
      </c>
      <c r="E362" s="30"/>
      <c r="F362" s="31">
        <f>F363</f>
        <v>1000</v>
      </c>
      <c r="G362" s="31">
        <f t="shared" ref="G362:H363" si="105">G363</f>
        <v>1000</v>
      </c>
      <c r="H362" s="31">
        <f t="shared" si="105"/>
        <v>1000</v>
      </c>
    </row>
    <row r="363" spans="1:8" s="195" customFormat="1" ht="12" x14ac:dyDescent="0.2">
      <c r="A363" s="68" t="s">
        <v>195</v>
      </c>
      <c r="B363" s="36" t="s">
        <v>177</v>
      </c>
      <c r="C363" s="36" t="s">
        <v>292</v>
      </c>
      <c r="D363" s="36" t="s">
        <v>312</v>
      </c>
      <c r="E363" s="36" t="s">
        <v>196</v>
      </c>
      <c r="F363" s="37">
        <f>F364</f>
        <v>1000</v>
      </c>
      <c r="G363" s="37">
        <f t="shared" si="105"/>
        <v>1000</v>
      </c>
      <c r="H363" s="37">
        <f t="shared" si="105"/>
        <v>1000</v>
      </c>
    </row>
    <row r="364" spans="1:8" s="195" customFormat="1" ht="12" x14ac:dyDescent="0.2">
      <c r="A364" s="68" t="s">
        <v>197</v>
      </c>
      <c r="B364" s="36" t="s">
        <v>177</v>
      </c>
      <c r="C364" s="36" t="s">
        <v>292</v>
      </c>
      <c r="D364" s="36" t="s">
        <v>312</v>
      </c>
      <c r="E364" s="36" t="s">
        <v>198</v>
      </c>
      <c r="F364" s="37">
        <v>1000</v>
      </c>
      <c r="G364" s="37">
        <v>1000</v>
      </c>
      <c r="H364" s="37">
        <v>1000</v>
      </c>
    </row>
    <row r="365" spans="1:8" s="195" customFormat="1" ht="12" x14ac:dyDescent="0.2">
      <c r="A365" s="50" t="s">
        <v>313</v>
      </c>
      <c r="B365" s="30" t="s">
        <v>177</v>
      </c>
      <c r="C365" s="30" t="s">
        <v>292</v>
      </c>
      <c r="D365" s="30" t="s">
        <v>314</v>
      </c>
      <c r="E365" s="30"/>
      <c r="F365" s="31">
        <f>F366</f>
        <v>5000</v>
      </c>
      <c r="G365" s="45">
        <f t="shared" ref="G365:H366" si="106">G366</f>
        <v>0</v>
      </c>
      <c r="H365" s="45">
        <f t="shared" si="106"/>
        <v>0</v>
      </c>
    </row>
    <row r="366" spans="1:8" s="195" customFormat="1" ht="12" x14ac:dyDescent="0.2">
      <c r="A366" s="68" t="s">
        <v>195</v>
      </c>
      <c r="B366" s="36" t="s">
        <v>177</v>
      </c>
      <c r="C366" s="36" t="s">
        <v>292</v>
      </c>
      <c r="D366" s="36" t="s">
        <v>314</v>
      </c>
      <c r="E366" s="36" t="s">
        <v>196</v>
      </c>
      <c r="F366" s="37">
        <f>F367</f>
        <v>5000</v>
      </c>
      <c r="G366" s="46">
        <f t="shared" si="106"/>
        <v>0</v>
      </c>
      <c r="H366" s="46">
        <f t="shared" si="106"/>
        <v>0</v>
      </c>
    </row>
    <row r="367" spans="1:8" s="195" customFormat="1" ht="12" x14ac:dyDescent="0.2">
      <c r="A367" s="68" t="s">
        <v>197</v>
      </c>
      <c r="B367" s="36" t="s">
        <v>177</v>
      </c>
      <c r="C367" s="36" t="s">
        <v>292</v>
      </c>
      <c r="D367" s="36" t="s">
        <v>314</v>
      </c>
      <c r="E367" s="36" t="s">
        <v>198</v>
      </c>
      <c r="F367" s="37">
        <v>5000</v>
      </c>
      <c r="G367" s="46">
        <v>0</v>
      </c>
      <c r="H367" s="46">
        <v>0</v>
      </c>
    </row>
    <row r="368" spans="1:8" s="195" customFormat="1" ht="12" x14ac:dyDescent="0.2">
      <c r="A368" s="39" t="s">
        <v>317</v>
      </c>
      <c r="B368" s="40" t="s">
        <v>177</v>
      </c>
      <c r="C368" s="40" t="s">
        <v>292</v>
      </c>
      <c r="D368" s="40" t="s">
        <v>318</v>
      </c>
      <c r="E368" s="40"/>
      <c r="F368" s="41">
        <f t="shared" ref="F368:H369" si="107">F369</f>
        <v>15000</v>
      </c>
      <c r="G368" s="47">
        <f t="shared" si="107"/>
        <v>0</v>
      </c>
      <c r="H368" s="47">
        <f t="shared" si="107"/>
        <v>0</v>
      </c>
    </row>
    <row r="369" spans="1:8" s="195" customFormat="1" ht="12" x14ac:dyDescent="0.2">
      <c r="A369" s="35" t="s">
        <v>195</v>
      </c>
      <c r="B369" s="36" t="s">
        <v>177</v>
      </c>
      <c r="C369" s="36" t="s">
        <v>292</v>
      </c>
      <c r="D369" s="36" t="s">
        <v>318</v>
      </c>
      <c r="E369" s="48">
        <v>200</v>
      </c>
      <c r="F369" s="37">
        <f t="shared" si="107"/>
        <v>15000</v>
      </c>
      <c r="G369" s="46">
        <f t="shared" si="107"/>
        <v>0</v>
      </c>
      <c r="H369" s="46">
        <f t="shared" si="107"/>
        <v>0</v>
      </c>
    </row>
    <row r="370" spans="1:8" s="195" customFormat="1" ht="12" x14ac:dyDescent="0.2">
      <c r="A370" s="35" t="s">
        <v>197</v>
      </c>
      <c r="B370" s="36" t="s">
        <v>177</v>
      </c>
      <c r="C370" s="36" t="s">
        <v>292</v>
      </c>
      <c r="D370" s="36" t="s">
        <v>318</v>
      </c>
      <c r="E370" s="36" t="s">
        <v>198</v>
      </c>
      <c r="F370" s="37">
        <v>15000</v>
      </c>
      <c r="G370" s="46">
        <v>0</v>
      </c>
      <c r="H370" s="46">
        <v>0</v>
      </c>
    </row>
    <row r="371" spans="1:8" s="195" customFormat="1" ht="12" x14ac:dyDescent="0.2">
      <c r="A371" s="52" t="s">
        <v>263</v>
      </c>
      <c r="B371" s="49" t="s">
        <v>177</v>
      </c>
      <c r="C371" s="49" t="s">
        <v>292</v>
      </c>
      <c r="D371" s="49" t="s">
        <v>319</v>
      </c>
      <c r="E371" s="30"/>
      <c r="F371" s="53">
        <f>F372</f>
        <v>8423.3690000000006</v>
      </c>
      <c r="G371" s="53">
        <f t="shared" ref="G371:H371" si="108">G372</f>
        <v>5000</v>
      </c>
      <c r="H371" s="53">
        <f t="shared" si="108"/>
        <v>5000</v>
      </c>
    </row>
    <row r="372" spans="1:8" s="195" customFormat="1" ht="12" x14ac:dyDescent="0.2">
      <c r="A372" s="29" t="s">
        <v>320</v>
      </c>
      <c r="B372" s="30" t="s">
        <v>177</v>
      </c>
      <c r="C372" s="30" t="s">
        <v>292</v>
      </c>
      <c r="D372" s="30" t="s">
        <v>319</v>
      </c>
      <c r="E372" s="36"/>
      <c r="F372" s="31">
        <f>F373+F375</f>
        <v>8423.3690000000006</v>
      </c>
      <c r="G372" s="31">
        <f>G373+G375</f>
        <v>5000</v>
      </c>
      <c r="H372" s="31">
        <f>H373+H375</f>
        <v>5000</v>
      </c>
    </row>
    <row r="373" spans="1:8" s="195" customFormat="1" ht="24" x14ac:dyDescent="0.2">
      <c r="A373" s="35" t="s">
        <v>185</v>
      </c>
      <c r="B373" s="36" t="s">
        <v>177</v>
      </c>
      <c r="C373" s="36" t="s">
        <v>292</v>
      </c>
      <c r="D373" s="36" t="s">
        <v>319</v>
      </c>
      <c r="E373" s="36" t="s">
        <v>186</v>
      </c>
      <c r="F373" s="37">
        <f>F374</f>
        <v>6923.3690000000006</v>
      </c>
      <c r="G373" s="37">
        <f t="shared" ref="G373:H373" si="109">G374</f>
        <v>4700</v>
      </c>
      <c r="H373" s="37">
        <f t="shared" si="109"/>
        <v>4700</v>
      </c>
    </row>
    <row r="374" spans="1:8" s="195" customFormat="1" ht="12" x14ac:dyDescent="0.2">
      <c r="A374" s="35" t="s">
        <v>266</v>
      </c>
      <c r="B374" s="36" t="s">
        <v>177</v>
      </c>
      <c r="C374" s="36" t="s">
        <v>292</v>
      </c>
      <c r="D374" s="36" t="s">
        <v>319</v>
      </c>
      <c r="E374" s="36" t="s">
        <v>267</v>
      </c>
      <c r="F374" s="37">
        <f>2688+812+3423.369</f>
        <v>6923.3690000000006</v>
      </c>
      <c r="G374" s="82">
        <f>3525+975+50+150</f>
        <v>4700</v>
      </c>
      <c r="H374" s="82">
        <f>3525+975+50+150</f>
        <v>4700</v>
      </c>
    </row>
    <row r="375" spans="1:8" s="195" customFormat="1" ht="12" x14ac:dyDescent="0.2">
      <c r="A375" s="35" t="s">
        <v>195</v>
      </c>
      <c r="B375" s="36" t="s">
        <v>177</v>
      </c>
      <c r="C375" s="36" t="s">
        <v>292</v>
      </c>
      <c r="D375" s="36" t="s">
        <v>319</v>
      </c>
      <c r="E375" s="36" t="s">
        <v>196</v>
      </c>
      <c r="F375" s="82">
        <f>F376</f>
        <v>1500</v>
      </c>
      <c r="G375" s="82">
        <f t="shared" ref="G375:H375" si="110">G376</f>
        <v>300</v>
      </c>
      <c r="H375" s="82">
        <f t="shared" si="110"/>
        <v>300</v>
      </c>
    </row>
    <row r="376" spans="1:8" s="195" customFormat="1" ht="12" x14ac:dyDescent="0.2">
      <c r="A376" s="35" t="s">
        <v>197</v>
      </c>
      <c r="B376" s="36" t="s">
        <v>177</v>
      </c>
      <c r="C376" s="36" t="s">
        <v>292</v>
      </c>
      <c r="D376" s="36" t="s">
        <v>319</v>
      </c>
      <c r="E376" s="36" t="s">
        <v>198</v>
      </c>
      <c r="F376" s="82">
        <v>1500</v>
      </c>
      <c r="G376" s="82">
        <v>300</v>
      </c>
      <c r="H376" s="82">
        <v>300</v>
      </c>
    </row>
    <row r="377" spans="1:8" s="195" customFormat="1" ht="12" x14ac:dyDescent="0.2">
      <c r="A377" s="29" t="s">
        <v>315</v>
      </c>
      <c r="B377" s="30" t="s">
        <v>177</v>
      </c>
      <c r="C377" s="30" t="s">
        <v>292</v>
      </c>
      <c r="D377" s="30" t="s">
        <v>316</v>
      </c>
      <c r="E377" s="30"/>
      <c r="F377" s="31">
        <v>1073</v>
      </c>
      <c r="G377" s="31">
        <v>500</v>
      </c>
      <c r="H377" s="31">
        <v>500</v>
      </c>
    </row>
    <row r="378" spans="1:8" s="195" customFormat="1" ht="12" x14ac:dyDescent="0.2">
      <c r="A378" s="35" t="s">
        <v>195</v>
      </c>
      <c r="B378" s="36" t="s">
        <v>177</v>
      </c>
      <c r="C378" s="36" t="s">
        <v>292</v>
      </c>
      <c r="D378" s="36" t="s">
        <v>316</v>
      </c>
      <c r="E378" s="48">
        <v>200</v>
      </c>
      <c r="F378" s="37">
        <v>1073</v>
      </c>
      <c r="G378" s="37">
        <v>500</v>
      </c>
      <c r="H378" s="37">
        <v>500</v>
      </c>
    </row>
    <row r="379" spans="1:8" s="195" customFormat="1" ht="12" x14ac:dyDescent="0.2">
      <c r="A379" s="35" t="s">
        <v>197</v>
      </c>
      <c r="B379" s="36" t="s">
        <v>177</v>
      </c>
      <c r="C379" s="36" t="s">
        <v>292</v>
      </c>
      <c r="D379" s="36" t="s">
        <v>316</v>
      </c>
      <c r="E379" s="36" t="s">
        <v>198</v>
      </c>
      <c r="F379" s="37">
        <v>1073</v>
      </c>
      <c r="G379" s="37">
        <v>500</v>
      </c>
      <c r="H379" s="37">
        <v>500</v>
      </c>
    </row>
    <row r="380" spans="1:8" s="195" customFormat="1" ht="12" x14ac:dyDescent="0.2">
      <c r="A380" s="29" t="s">
        <v>367</v>
      </c>
      <c r="B380" s="30" t="s">
        <v>206</v>
      </c>
      <c r="C380" s="30" t="s">
        <v>174</v>
      </c>
      <c r="D380" s="36"/>
      <c r="E380" s="36"/>
      <c r="F380" s="31">
        <f>F381+F424+F464+F520</f>
        <v>1915295.8852499998</v>
      </c>
      <c r="G380" s="31">
        <f>G381+G424+G464+G520</f>
        <v>1179806.9000000001</v>
      </c>
      <c r="H380" s="31">
        <f>H381+H424+H464+H520</f>
        <v>902415.8</v>
      </c>
    </row>
    <row r="381" spans="1:8" s="195" customFormat="1" ht="12" x14ac:dyDescent="0.2">
      <c r="A381" s="29" t="s">
        <v>561</v>
      </c>
      <c r="B381" s="30" t="s">
        <v>206</v>
      </c>
      <c r="C381" s="30" t="s">
        <v>173</v>
      </c>
      <c r="D381" s="40"/>
      <c r="E381" s="40"/>
      <c r="F381" s="31">
        <f t="shared" ref="F381:H381" si="111">F382+F410+F417</f>
        <v>522055.71953</v>
      </c>
      <c r="G381" s="31">
        <f t="shared" si="111"/>
        <v>43700</v>
      </c>
      <c r="H381" s="31">
        <f t="shared" si="111"/>
        <v>53700</v>
      </c>
    </row>
    <row r="382" spans="1:8" s="195" customFormat="1" ht="24" x14ac:dyDescent="0.2">
      <c r="A382" s="39" t="s">
        <v>586</v>
      </c>
      <c r="B382" s="40" t="s">
        <v>206</v>
      </c>
      <c r="C382" s="40" t="s">
        <v>173</v>
      </c>
      <c r="D382" s="40" t="s">
        <v>587</v>
      </c>
      <c r="E382" s="40"/>
      <c r="F382" s="41">
        <f>F383+F387+F394</f>
        <v>101270.41953000001</v>
      </c>
      <c r="G382" s="41">
        <f>G383+G387+G394</f>
        <v>37700</v>
      </c>
      <c r="H382" s="41">
        <f>H383+H387+H394</f>
        <v>47200</v>
      </c>
    </row>
    <row r="383" spans="1:8" s="195" customFormat="1" ht="12" x14ac:dyDescent="0.2">
      <c r="A383" s="39" t="s">
        <v>597</v>
      </c>
      <c r="B383" s="40" t="s">
        <v>206</v>
      </c>
      <c r="C383" s="40" t="s">
        <v>173</v>
      </c>
      <c r="D383" s="40" t="s">
        <v>598</v>
      </c>
      <c r="E383" s="40"/>
      <c r="F383" s="41">
        <f>F384</f>
        <v>1500</v>
      </c>
      <c r="G383" s="41">
        <f t="shared" ref="G383:H385" si="112">G384</f>
        <v>1500</v>
      </c>
      <c r="H383" s="41">
        <f t="shared" si="112"/>
        <v>1000</v>
      </c>
    </row>
    <row r="384" spans="1:8" s="195" customFormat="1" ht="12" x14ac:dyDescent="0.2">
      <c r="A384" s="29" t="s">
        <v>599</v>
      </c>
      <c r="B384" s="30" t="s">
        <v>206</v>
      </c>
      <c r="C384" s="30" t="s">
        <v>173</v>
      </c>
      <c r="D384" s="30" t="s">
        <v>600</v>
      </c>
      <c r="E384" s="30"/>
      <c r="F384" s="31">
        <f>F385</f>
        <v>1500</v>
      </c>
      <c r="G384" s="31">
        <f t="shared" si="112"/>
        <v>1500</v>
      </c>
      <c r="H384" s="31">
        <f t="shared" si="112"/>
        <v>1000</v>
      </c>
    </row>
    <row r="385" spans="1:8" s="195" customFormat="1" ht="12" x14ac:dyDescent="0.2">
      <c r="A385" s="35" t="s">
        <v>195</v>
      </c>
      <c r="B385" s="36" t="s">
        <v>206</v>
      </c>
      <c r="C385" s="36" t="s">
        <v>173</v>
      </c>
      <c r="D385" s="36" t="s">
        <v>600</v>
      </c>
      <c r="E385" s="36" t="s">
        <v>196</v>
      </c>
      <c r="F385" s="37">
        <f>F386</f>
        <v>1500</v>
      </c>
      <c r="G385" s="37">
        <f t="shared" si="112"/>
        <v>1500</v>
      </c>
      <c r="H385" s="37">
        <f t="shared" si="112"/>
        <v>1000</v>
      </c>
    </row>
    <row r="386" spans="1:8" s="195" customFormat="1" ht="12" x14ac:dyDescent="0.2">
      <c r="A386" s="35" t="s">
        <v>197</v>
      </c>
      <c r="B386" s="36" t="s">
        <v>206</v>
      </c>
      <c r="C386" s="36" t="s">
        <v>173</v>
      </c>
      <c r="D386" s="36" t="s">
        <v>600</v>
      </c>
      <c r="E386" s="36" t="s">
        <v>198</v>
      </c>
      <c r="F386" s="37">
        <v>1500</v>
      </c>
      <c r="G386" s="37">
        <v>1500</v>
      </c>
      <c r="H386" s="37">
        <v>1000</v>
      </c>
    </row>
    <row r="387" spans="1:8" s="195" customFormat="1" ht="12" x14ac:dyDescent="0.2">
      <c r="A387" s="39" t="s">
        <v>601</v>
      </c>
      <c r="B387" s="40" t="s">
        <v>206</v>
      </c>
      <c r="C387" s="40" t="s">
        <v>173</v>
      </c>
      <c r="D387" s="40" t="s">
        <v>602</v>
      </c>
      <c r="E387" s="49"/>
      <c r="F387" s="41">
        <f>F388+F391</f>
        <v>12150</v>
      </c>
      <c r="G387" s="41">
        <f>G388+G391</f>
        <v>500</v>
      </c>
      <c r="H387" s="41">
        <f>H388+H391</f>
        <v>10500</v>
      </c>
    </row>
    <row r="388" spans="1:8" s="195" customFormat="1" ht="24" x14ac:dyDescent="0.2">
      <c r="A388" s="50" t="s">
        <v>603</v>
      </c>
      <c r="B388" s="30" t="s">
        <v>206</v>
      </c>
      <c r="C388" s="30" t="s">
        <v>173</v>
      </c>
      <c r="D388" s="30" t="s">
        <v>604</v>
      </c>
      <c r="E388" s="30"/>
      <c r="F388" s="31">
        <f>F389</f>
        <v>1600</v>
      </c>
      <c r="G388" s="31">
        <f t="shared" ref="G388:H389" si="113">G389</f>
        <v>500</v>
      </c>
      <c r="H388" s="31">
        <f t="shared" si="113"/>
        <v>500</v>
      </c>
    </row>
    <row r="389" spans="1:8" s="195" customFormat="1" ht="12" x14ac:dyDescent="0.2">
      <c r="A389" s="35" t="s">
        <v>195</v>
      </c>
      <c r="B389" s="36" t="s">
        <v>206</v>
      </c>
      <c r="C389" s="36" t="s">
        <v>173</v>
      </c>
      <c r="D389" s="36" t="s">
        <v>604</v>
      </c>
      <c r="E389" s="36" t="s">
        <v>196</v>
      </c>
      <c r="F389" s="37">
        <f>F390</f>
        <v>1600</v>
      </c>
      <c r="G389" s="37">
        <f t="shared" si="113"/>
        <v>500</v>
      </c>
      <c r="H389" s="37">
        <f t="shared" si="113"/>
        <v>500</v>
      </c>
    </row>
    <row r="390" spans="1:8" s="195" customFormat="1" ht="12" x14ac:dyDescent="0.2">
      <c r="A390" s="35" t="s">
        <v>197</v>
      </c>
      <c r="B390" s="36" t="s">
        <v>206</v>
      </c>
      <c r="C390" s="36" t="s">
        <v>173</v>
      </c>
      <c r="D390" s="36" t="s">
        <v>604</v>
      </c>
      <c r="E390" s="36" t="s">
        <v>198</v>
      </c>
      <c r="F390" s="37">
        <f>1400+200</f>
        <v>1600</v>
      </c>
      <c r="G390" s="37">
        <v>500</v>
      </c>
      <c r="H390" s="37">
        <v>500</v>
      </c>
    </row>
    <row r="391" spans="1:8" s="195" customFormat="1" ht="12" x14ac:dyDescent="0.2">
      <c r="A391" s="50" t="s">
        <v>605</v>
      </c>
      <c r="B391" s="30" t="s">
        <v>206</v>
      </c>
      <c r="C391" s="30" t="s">
        <v>173</v>
      </c>
      <c r="D391" s="210" t="s">
        <v>606</v>
      </c>
      <c r="E391" s="30"/>
      <c r="F391" s="31">
        <f>F392</f>
        <v>10550</v>
      </c>
      <c r="G391" s="45">
        <f t="shared" ref="G391:H392" si="114">G392</f>
        <v>0</v>
      </c>
      <c r="H391" s="31">
        <f t="shared" si="114"/>
        <v>10000</v>
      </c>
    </row>
    <row r="392" spans="1:8" s="195" customFormat="1" ht="12" x14ac:dyDescent="0.2">
      <c r="A392" s="35" t="s">
        <v>195</v>
      </c>
      <c r="B392" s="36" t="s">
        <v>206</v>
      </c>
      <c r="C392" s="36" t="s">
        <v>173</v>
      </c>
      <c r="D392" s="36" t="s">
        <v>606</v>
      </c>
      <c r="E392" s="36" t="s">
        <v>196</v>
      </c>
      <c r="F392" s="37">
        <f>F393</f>
        <v>10550</v>
      </c>
      <c r="G392" s="46">
        <f t="shared" si="114"/>
        <v>0</v>
      </c>
      <c r="H392" s="37">
        <f t="shared" si="114"/>
        <v>10000</v>
      </c>
    </row>
    <row r="393" spans="1:8" s="195" customFormat="1" ht="12" x14ac:dyDescent="0.2">
      <c r="A393" s="35" t="s">
        <v>197</v>
      </c>
      <c r="B393" s="36" t="s">
        <v>206</v>
      </c>
      <c r="C393" s="36" t="s">
        <v>173</v>
      </c>
      <c r="D393" s="36" t="s">
        <v>606</v>
      </c>
      <c r="E393" s="36" t="s">
        <v>198</v>
      </c>
      <c r="F393" s="37">
        <f>14550-4000</f>
        <v>10550</v>
      </c>
      <c r="G393" s="46">
        <f>10000-10000</f>
        <v>0</v>
      </c>
      <c r="H393" s="37">
        <v>10000</v>
      </c>
    </row>
    <row r="394" spans="1:8" s="195" customFormat="1" ht="12" x14ac:dyDescent="0.2">
      <c r="A394" s="39" t="s">
        <v>588</v>
      </c>
      <c r="B394" s="40" t="s">
        <v>206</v>
      </c>
      <c r="C394" s="40" t="s">
        <v>173</v>
      </c>
      <c r="D394" s="40" t="s">
        <v>590</v>
      </c>
      <c r="E394" s="49"/>
      <c r="F394" s="41">
        <f>F401+F404+F407+F395+F398</f>
        <v>87620.419530000014</v>
      </c>
      <c r="G394" s="41">
        <f>G401+G404+G407</f>
        <v>35700</v>
      </c>
      <c r="H394" s="41">
        <f>H401+H404+H407</f>
        <v>35700</v>
      </c>
    </row>
    <row r="395" spans="1:8" s="195" customFormat="1" ht="48" x14ac:dyDescent="0.2">
      <c r="A395" s="189" t="s">
        <v>607</v>
      </c>
      <c r="B395" s="40" t="s">
        <v>206</v>
      </c>
      <c r="C395" s="40" t="s">
        <v>173</v>
      </c>
      <c r="D395" s="40" t="s">
        <v>608</v>
      </c>
      <c r="E395" s="49"/>
      <c r="F395" s="41">
        <f t="shared" ref="F395:F396" si="115">F396</f>
        <v>17403.349450000002</v>
      </c>
      <c r="G395" s="47">
        <f>G396</f>
        <v>0</v>
      </c>
      <c r="H395" s="47">
        <f>H396</f>
        <v>0</v>
      </c>
    </row>
    <row r="396" spans="1:8" s="195" customFormat="1" ht="12" x14ac:dyDescent="0.2">
      <c r="A396" s="35" t="s">
        <v>344</v>
      </c>
      <c r="B396" s="36" t="s">
        <v>206</v>
      </c>
      <c r="C396" s="36" t="s">
        <v>173</v>
      </c>
      <c r="D396" s="36" t="s">
        <v>608</v>
      </c>
      <c r="E396" s="36" t="s">
        <v>345</v>
      </c>
      <c r="F396" s="37">
        <f t="shared" si="115"/>
        <v>17403.349450000002</v>
      </c>
      <c r="G396" s="46">
        <f>G397</f>
        <v>0</v>
      </c>
      <c r="H396" s="46">
        <f>H397</f>
        <v>0</v>
      </c>
    </row>
    <row r="397" spans="1:8" s="195" customFormat="1" ht="12" x14ac:dyDescent="0.2">
      <c r="A397" s="35" t="s">
        <v>346</v>
      </c>
      <c r="B397" s="36" t="s">
        <v>206</v>
      </c>
      <c r="C397" s="36" t="s">
        <v>173</v>
      </c>
      <c r="D397" s="36" t="s">
        <v>608</v>
      </c>
      <c r="E397" s="36" t="s">
        <v>347</v>
      </c>
      <c r="F397" s="37">
        <f>7261.39244+10141.95701</f>
        <v>17403.349450000002</v>
      </c>
      <c r="G397" s="46">
        <v>0</v>
      </c>
      <c r="H397" s="46">
        <v>0</v>
      </c>
    </row>
    <row r="398" spans="1:8" s="195" customFormat="1" ht="36" x14ac:dyDescent="0.2">
      <c r="A398" s="39" t="s">
        <v>609</v>
      </c>
      <c r="B398" s="40" t="s">
        <v>206</v>
      </c>
      <c r="C398" s="40" t="s">
        <v>173</v>
      </c>
      <c r="D398" s="40" t="s">
        <v>610</v>
      </c>
      <c r="E398" s="49"/>
      <c r="F398" s="41">
        <f t="shared" ref="F398:F399" si="116">F399</f>
        <v>1876.9700800000001</v>
      </c>
      <c r="G398" s="47">
        <f>G399</f>
        <v>0</v>
      </c>
      <c r="H398" s="47">
        <f>H399</f>
        <v>0</v>
      </c>
    </row>
    <row r="399" spans="1:8" s="195" customFormat="1" ht="12" x14ac:dyDescent="0.2">
      <c r="A399" s="35" t="s">
        <v>344</v>
      </c>
      <c r="B399" s="36" t="s">
        <v>206</v>
      </c>
      <c r="C399" s="36" t="s">
        <v>173</v>
      </c>
      <c r="D399" s="36" t="s">
        <v>610</v>
      </c>
      <c r="E399" s="36" t="s">
        <v>345</v>
      </c>
      <c r="F399" s="37">
        <f t="shared" si="116"/>
        <v>1876.9700800000001</v>
      </c>
      <c r="G399" s="46">
        <f>G400</f>
        <v>0</v>
      </c>
      <c r="H399" s="46">
        <f>H400</f>
        <v>0</v>
      </c>
    </row>
    <row r="400" spans="1:8" s="195" customFormat="1" ht="12" x14ac:dyDescent="0.2">
      <c r="A400" s="35" t="s">
        <v>346</v>
      </c>
      <c r="B400" s="36" t="s">
        <v>206</v>
      </c>
      <c r="C400" s="36" t="s">
        <v>173</v>
      </c>
      <c r="D400" s="36" t="s">
        <v>610</v>
      </c>
      <c r="E400" s="36" t="s">
        <v>347</v>
      </c>
      <c r="F400" s="37">
        <f>1052.08082+824.88926</f>
        <v>1876.9700800000001</v>
      </c>
      <c r="G400" s="46">
        <v>0</v>
      </c>
      <c r="H400" s="46">
        <v>0</v>
      </c>
    </row>
    <row r="401" spans="1:8" s="195" customFormat="1" ht="12" x14ac:dyDescent="0.2">
      <c r="A401" s="70" t="s">
        <v>611</v>
      </c>
      <c r="B401" s="30" t="s">
        <v>206</v>
      </c>
      <c r="C401" s="30" t="s">
        <v>173</v>
      </c>
      <c r="D401" s="30" t="s">
        <v>612</v>
      </c>
      <c r="E401" s="30"/>
      <c r="F401" s="31">
        <f>F402</f>
        <v>13100</v>
      </c>
      <c r="G401" s="31">
        <f t="shared" ref="G401:H402" si="117">G402</f>
        <v>20200</v>
      </c>
      <c r="H401" s="31">
        <f t="shared" si="117"/>
        <v>20200</v>
      </c>
    </row>
    <row r="402" spans="1:8" s="195" customFormat="1" ht="12" x14ac:dyDescent="0.2">
      <c r="A402" s="35" t="s">
        <v>344</v>
      </c>
      <c r="B402" s="36" t="s">
        <v>206</v>
      </c>
      <c r="C402" s="36" t="s">
        <v>173</v>
      </c>
      <c r="D402" s="36" t="s">
        <v>612</v>
      </c>
      <c r="E402" s="36" t="s">
        <v>345</v>
      </c>
      <c r="F402" s="37">
        <f>F403</f>
        <v>13100</v>
      </c>
      <c r="G402" s="37">
        <f t="shared" si="117"/>
        <v>20200</v>
      </c>
      <c r="H402" s="37">
        <f t="shared" si="117"/>
        <v>20200</v>
      </c>
    </row>
    <row r="403" spans="1:8" s="195" customFormat="1" ht="12" x14ac:dyDescent="0.2">
      <c r="A403" s="35" t="s">
        <v>346</v>
      </c>
      <c r="B403" s="36" t="s">
        <v>206</v>
      </c>
      <c r="C403" s="36" t="s">
        <v>173</v>
      </c>
      <c r="D403" s="36" t="s">
        <v>612</v>
      </c>
      <c r="E403" s="36" t="s">
        <v>347</v>
      </c>
      <c r="F403" s="37">
        <f>28200-5000-10100</f>
        <v>13100</v>
      </c>
      <c r="G403" s="37">
        <v>20200</v>
      </c>
      <c r="H403" s="37">
        <v>20200</v>
      </c>
    </row>
    <row r="404" spans="1:8" s="195" customFormat="1" ht="24" x14ac:dyDescent="0.2">
      <c r="A404" s="29" t="s">
        <v>613</v>
      </c>
      <c r="B404" s="30" t="s">
        <v>206</v>
      </c>
      <c r="C404" s="30" t="s">
        <v>173</v>
      </c>
      <c r="D404" s="30" t="s">
        <v>614</v>
      </c>
      <c r="E404" s="30"/>
      <c r="F404" s="31">
        <f>F405</f>
        <v>51740.1</v>
      </c>
      <c r="G404" s="31">
        <f t="shared" ref="G404:H405" si="118">G405</f>
        <v>12000</v>
      </c>
      <c r="H404" s="31">
        <f t="shared" si="118"/>
        <v>12000</v>
      </c>
    </row>
    <row r="405" spans="1:8" s="195" customFormat="1" ht="12" x14ac:dyDescent="0.2">
      <c r="A405" s="35" t="s">
        <v>356</v>
      </c>
      <c r="B405" s="36" t="s">
        <v>206</v>
      </c>
      <c r="C405" s="36" t="s">
        <v>173</v>
      </c>
      <c r="D405" s="36" t="s">
        <v>614</v>
      </c>
      <c r="E405" s="36" t="s">
        <v>357</v>
      </c>
      <c r="F405" s="37">
        <f>F406</f>
        <v>51740.1</v>
      </c>
      <c r="G405" s="37">
        <f t="shared" si="118"/>
        <v>12000</v>
      </c>
      <c r="H405" s="37">
        <f t="shared" si="118"/>
        <v>12000</v>
      </c>
    </row>
    <row r="406" spans="1:8" s="195" customFormat="1" ht="24" x14ac:dyDescent="0.2">
      <c r="A406" s="68" t="s">
        <v>470</v>
      </c>
      <c r="B406" s="36" t="s">
        <v>206</v>
      </c>
      <c r="C406" s="36" t="s">
        <v>173</v>
      </c>
      <c r="D406" s="36" t="s">
        <v>614</v>
      </c>
      <c r="E406" s="36" t="s">
        <v>471</v>
      </c>
      <c r="F406" s="37">
        <f>29400+22340.1</f>
        <v>51740.1</v>
      </c>
      <c r="G406" s="37">
        <v>12000</v>
      </c>
      <c r="H406" s="37">
        <v>12000</v>
      </c>
    </row>
    <row r="407" spans="1:8" s="195" customFormat="1" ht="24" x14ac:dyDescent="0.2">
      <c r="A407" s="29" t="s">
        <v>615</v>
      </c>
      <c r="B407" s="30" t="s">
        <v>206</v>
      </c>
      <c r="C407" s="30" t="s">
        <v>173</v>
      </c>
      <c r="D407" s="30" t="s">
        <v>616</v>
      </c>
      <c r="E407" s="30"/>
      <c r="F407" s="31">
        <f>F408</f>
        <v>3500</v>
      </c>
      <c r="G407" s="31">
        <f t="shared" ref="G407:H408" si="119">G408</f>
        <v>3500</v>
      </c>
      <c r="H407" s="31">
        <f t="shared" si="119"/>
        <v>3500</v>
      </c>
    </row>
    <row r="408" spans="1:8" s="195" customFormat="1" ht="12" x14ac:dyDescent="0.2">
      <c r="A408" s="35" t="s">
        <v>195</v>
      </c>
      <c r="B408" s="36" t="s">
        <v>206</v>
      </c>
      <c r="C408" s="36" t="s">
        <v>173</v>
      </c>
      <c r="D408" s="36" t="s">
        <v>616</v>
      </c>
      <c r="E408" s="36" t="s">
        <v>196</v>
      </c>
      <c r="F408" s="37">
        <f>F409</f>
        <v>3500</v>
      </c>
      <c r="G408" s="37">
        <f t="shared" si="119"/>
        <v>3500</v>
      </c>
      <c r="H408" s="37">
        <f t="shared" si="119"/>
        <v>3500</v>
      </c>
    </row>
    <row r="409" spans="1:8" s="195" customFormat="1" ht="12" x14ac:dyDescent="0.2">
      <c r="A409" s="35" t="s">
        <v>197</v>
      </c>
      <c r="B409" s="36" t="s">
        <v>206</v>
      </c>
      <c r="C409" s="36" t="s">
        <v>173</v>
      </c>
      <c r="D409" s="36" t="s">
        <v>616</v>
      </c>
      <c r="E409" s="36" t="s">
        <v>198</v>
      </c>
      <c r="F409" s="37">
        <v>3500</v>
      </c>
      <c r="G409" s="37">
        <v>3500</v>
      </c>
      <c r="H409" s="37">
        <v>3500</v>
      </c>
    </row>
    <row r="410" spans="1:8" s="195" customFormat="1" ht="12" x14ac:dyDescent="0.2">
      <c r="A410" s="39" t="s">
        <v>551</v>
      </c>
      <c r="B410" s="40" t="s">
        <v>206</v>
      </c>
      <c r="C410" s="40" t="s">
        <v>173</v>
      </c>
      <c r="D410" s="40" t="s">
        <v>552</v>
      </c>
      <c r="E410" s="40"/>
      <c r="F410" s="41">
        <f>F411+F414</f>
        <v>1800</v>
      </c>
      <c r="G410" s="41">
        <f>G411+G414</f>
        <v>6000</v>
      </c>
      <c r="H410" s="41">
        <f>H411+H414</f>
        <v>6500</v>
      </c>
    </row>
    <row r="411" spans="1:8" s="195" customFormat="1" ht="24" x14ac:dyDescent="0.2">
      <c r="A411" s="29" t="s">
        <v>562</v>
      </c>
      <c r="B411" s="30" t="s">
        <v>206</v>
      </c>
      <c r="C411" s="30" t="s">
        <v>173</v>
      </c>
      <c r="D411" s="30" t="s">
        <v>563</v>
      </c>
      <c r="E411" s="30"/>
      <c r="F411" s="31">
        <f>F412</f>
        <v>1500</v>
      </c>
      <c r="G411" s="31">
        <f t="shared" ref="G411:H412" si="120">G412</f>
        <v>5500</v>
      </c>
      <c r="H411" s="31">
        <f t="shared" si="120"/>
        <v>6000</v>
      </c>
    </row>
    <row r="412" spans="1:8" s="195" customFormat="1" ht="12" x14ac:dyDescent="0.2">
      <c r="A412" s="35" t="s">
        <v>195</v>
      </c>
      <c r="B412" s="36" t="s">
        <v>206</v>
      </c>
      <c r="C412" s="36" t="s">
        <v>173</v>
      </c>
      <c r="D412" s="36" t="s">
        <v>563</v>
      </c>
      <c r="E412" s="36" t="s">
        <v>196</v>
      </c>
      <c r="F412" s="37">
        <f>F413</f>
        <v>1500</v>
      </c>
      <c r="G412" s="37">
        <f t="shared" si="120"/>
        <v>5500</v>
      </c>
      <c r="H412" s="37">
        <f t="shared" si="120"/>
        <v>6000</v>
      </c>
    </row>
    <row r="413" spans="1:8" s="195" customFormat="1" ht="12" x14ac:dyDescent="0.2">
      <c r="A413" s="35" t="s">
        <v>197</v>
      </c>
      <c r="B413" s="36" t="s">
        <v>206</v>
      </c>
      <c r="C413" s="36" t="s">
        <v>173</v>
      </c>
      <c r="D413" s="36" t="s">
        <v>563</v>
      </c>
      <c r="E413" s="36" t="s">
        <v>198</v>
      </c>
      <c r="F413" s="37">
        <f>1000+500</f>
        <v>1500</v>
      </c>
      <c r="G413" s="37">
        <v>5500</v>
      </c>
      <c r="H413" s="37">
        <v>6000</v>
      </c>
    </row>
    <row r="414" spans="1:8" s="195" customFormat="1" ht="12" x14ac:dyDescent="0.2">
      <c r="A414" s="50" t="s">
        <v>555</v>
      </c>
      <c r="B414" s="30" t="s">
        <v>206</v>
      </c>
      <c r="C414" s="30" t="s">
        <v>173</v>
      </c>
      <c r="D414" s="30" t="s">
        <v>556</v>
      </c>
      <c r="E414" s="30"/>
      <c r="F414" s="31">
        <f>F415</f>
        <v>300</v>
      </c>
      <c r="G414" s="31">
        <f t="shared" ref="G414:H415" si="121">G415</f>
        <v>500</v>
      </c>
      <c r="H414" s="31">
        <f t="shared" si="121"/>
        <v>500</v>
      </c>
    </row>
    <row r="415" spans="1:8" s="195" customFormat="1" ht="12" x14ac:dyDescent="0.2">
      <c r="A415" s="35" t="s">
        <v>195</v>
      </c>
      <c r="B415" s="36" t="s">
        <v>206</v>
      </c>
      <c r="C415" s="36" t="s">
        <v>173</v>
      </c>
      <c r="D415" s="36" t="s">
        <v>556</v>
      </c>
      <c r="E415" s="36" t="s">
        <v>196</v>
      </c>
      <c r="F415" s="37">
        <f>F416</f>
        <v>300</v>
      </c>
      <c r="G415" s="37">
        <f t="shared" si="121"/>
        <v>500</v>
      </c>
      <c r="H415" s="37">
        <f t="shared" si="121"/>
        <v>500</v>
      </c>
    </row>
    <row r="416" spans="1:8" s="195" customFormat="1" ht="12" x14ac:dyDescent="0.2">
      <c r="A416" s="35" t="s">
        <v>197</v>
      </c>
      <c r="B416" s="36" t="s">
        <v>206</v>
      </c>
      <c r="C416" s="36" t="s">
        <v>173</v>
      </c>
      <c r="D416" s="36" t="s">
        <v>556</v>
      </c>
      <c r="E416" s="36" t="s">
        <v>198</v>
      </c>
      <c r="F416" s="37">
        <v>300</v>
      </c>
      <c r="G416" s="46">
        <v>500</v>
      </c>
      <c r="H416" s="37">
        <v>500</v>
      </c>
    </row>
    <row r="417" spans="1:8" s="195" customFormat="1" ht="13.5" x14ac:dyDescent="0.2">
      <c r="A417" s="38" t="s">
        <v>617</v>
      </c>
      <c r="B417" s="32" t="s">
        <v>206</v>
      </c>
      <c r="C417" s="32" t="s">
        <v>173</v>
      </c>
      <c r="D417" s="32" t="s">
        <v>618</v>
      </c>
      <c r="E417" s="32"/>
      <c r="F417" s="33">
        <f>F418+F421</f>
        <v>418985.3</v>
      </c>
      <c r="G417" s="61">
        <f>G418+G421</f>
        <v>0</v>
      </c>
      <c r="H417" s="61">
        <f>H418+H421</f>
        <v>0</v>
      </c>
    </row>
    <row r="418" spans="1:8" s="195" customFormat="1" ht="24" x14ac:dyDescent="0.2">
      <c r="A418" s="29" t="s">
        <v>619</v>
      </c>
      <c r="B418" s="30" t="s">
        <v>206</v>
      </c>
      <c r="C418" s="30" t="s">
        <v>173</v>
      </c>
      <c r="D418" s="30" t="s">
        <v>620</v>
      </c>
      <c r="E418" s="30"/>
      <c r="F418" s="31">
        <f t="shared" ref="F418:H419" si="122">F419</f>
        <v>323885.3</v>
      </c>
      <c r="G418" s="45">
        <f t="shared" si="122"/>
        <v>0</v>
      </c>
      <c r="H418" s="45">
        <f t="shared" si="122"/>
        <v>0</v>
      </c>
    </row>
    <row r="419" spans="1:8" s="195" customFormat="1" ht="12" x14ac:dyDescent="0.2">
      <c r="A419" s="35" t="s">
        <v>344</v>
      </c>
      <c r="B419" s="36" t="s">
        <v>206</v>
      </c>
      <c r="C419" s="36" t="s">
        <v>173</v>
      </c>
      <c r="D419" s="36" t="s">
        <v>620</v>
      </c>
      <c r="E419" s="36" t="s">
        <v>345</v>
      </c>
      <c r="F419" s="37">
        <f t="shared" si="122"/>
        <v>323885.3</v>
      </c>
      <c r="G419" s="46">
        <f t="shared" si="122"/>
        <v>0</v>
      </c>
      <c r="H419" s="46">
        <f t="shared" si="122"/>
        <v>0</v>
      </c>
    </row>
    <row r="420" spans="1:8" s="195" customFormat="1" ht="12" x14ac:dyDescent="0.2">
      <c r="A420" s="35" t="s">
        <v>346</v>
      </c>
      <c r="B420" s="36" t="s">
        <v>206</v>
      </c>
      <c r="C420" s="36" t="s">
        <v>173</v>
      </c>
      <c r="D420" s="36" t="s">
        <v>620</v>
      </c>
      <c r="E420" s="36" t="s">
        <v>347</v>
      </c>
      <c r="F420" s="37">
        <f>403885.3-80000</f>
        <v>323885.3</v>
      </c>
      <c r="G420" s="46">
        <v>0</v>
      </c>
      <c r="H420" s="46">
        <v>0</v>
      </c>
    </row>
    <row r="421" spans="1:8" s="195" customFormat="1" ht="24" x14ac:dyDescent="0.2">
      <c r="A421" s="29" t="s">
        <v>621</v>
      </c>
      <c r="B421" s="30" t="s">
        <v>206</v>
      </c>
      <c r="C421" s="30" t="s">
        <v>173</v>
      </c>
      <c r="D421" s="30" t="s">
        <v>622</v>
      </c>
      <c r="E421" s="30"/>
      <c r="F421" s="31">
        <f t="shared" ref="F421:H422" si="123">F422</f>
        <v>95100</v>
      </c>
      <c r="G421" s="45">
        <f t="shared" si="123"/>
        <v>0</v>
      </c>
      <c r="H421" s="45">
        <f t="shared" si="123"/>
        <v>0</v>
      </c>
    </row>
    <row r="422" spans="1:8" s="195" customFormat="1" ht="12" x14ac:dyDescent="0.2">
      <c r="A422" s="35" t="s">
        <v>344</v>
      </c>
      <c r="B422" s="36" t="s">
        <v>206</v>
      </c>
      <c r="C422" s="36" t="s">
        <v>173</v>
      </c>
      <c r="D422" s="36" t="s">
        <v>622</v>
      </c>
      <c r="E422" s="36" t="s">
        <v>345</v>
      </c>
      <c r="F422" s="37">
        <f t="shared" si="123"/>
        <v>95100</v>
      </c>
      <c r="G422" s="46">
        <f t="shared" si="123"/>
        <v>0</v>
      </c>
      <c r="H422" s="46">
        <f t="shared" si="123"/>
        <v>0</v>
      </c>
    </row>
    <row r="423" spans="1:8" s="195" customFormat="1" ht="12" x14ac:dyDescent="0.2">
      <c r="A423" s="35" t="s">
        <v>346</v>
      </c>
      <c r="B423" s="36" t="s">
        <v>206</v>
      </c>
      <c r="C423" s="36" t="s">
        <v>173</v>
      </c>
      <c r="D423" s="36" t="s">
        <v>622</v>
      </c>
      <c r="E423" s="36" t="s">
        <v>347</v>
      </c>
      <c r="F423" s="37">
        <f>5000+10100+80000</f>
        <v>95100</v>
      </c>
      <c r="G423" s="46">
        <v>0</v>
      </c>
      <c r="H423" s="46">
        <v>0</v>
      </c>
    </row>
    <row r="424" spans="1:8" s="195" customFormat="1" ht="12" x14ac:dyDescent="0.2">
      <c r="A424" s="29" t="s">
        <v>564</v>
      </c>
      <c r="B424" s="30" t="s">
        <v>206</v>
      </c>
      <c r="C424" s="30" t="s">
        <v>352</v>
      </c>
      <c r="D424" s="30"/>
      <c r="E424" s="30"/>
      <c r="F424" s="31">
        <f>F425+F455</f>
        <v>63894.6</v>
      </c>
      <c r="G424" s="31">
        <f>G425+G455</f>
        <v>305000</v>
      </c>
      <c r="H424" s="31">
        <f>H425+H455</f>
        <v>109400</v>
      </c>
    </row>
    <row r="425" spans="1:8" s="195" customFormat="1" ht="24" x14ac:dyDescent="0.2">
      <c r="A425" s="39" t="s">
        <v>586</v>
      </c>
      <c r="B425" s="40" t="s">
        <v>206</v>
      </c>
      <c r="C425" s="40" t="s">
        <v>352</v>
      </c>
      <c r="D425" s="40" t="s">
        <v>587</v>
      </c>
      <c r="E425" s="40"/>
      <c r="F425" s="41">
        <f>F426+F438+F447+F451</f>
        <v>63744.6</v>
      </c>
      <c r="G425" s="41">
        <f>G426+G438+G447+G451</f>
        <v>256000</v>
      </c>
      <c r="H425" s="41">
        <f>H426+H438+H447+H451</f>
        <v>49400</v>
      </c>
    </row>
    <row r="426" spans="1:8" s="195" customFormat="1" ht="12" x14ac:dyDescent="0.2">
      <c r="A426" s="39" t="s">
        <v>623</v>
      </c>
      <c r="B426" s="40" t="s">
        <v>206</v>
      </c>
      <c r="C426" s="40" t="s">
        <v>352</v>
      </c>
      <c r="D426" s="40" t="s">
        <v>624</v>
      </c>
      <c r="E426" s="40"/>
      <c r="F426" s="41">
        <f>F427+F432+F435</f>
        <v>7313.5</v>
      </c>
      <c r="G426" s="41">
        <f>G427+G432</f>
        <v>500</v>
      </c>
      <c r="H426" s="41">
        <f>H427+H432</f>
        <v>21600</v>
      </c>
    </row>
    <row r="427" spans="1:8" s="195" customFormat="1" ht="12" x14ac:dyDescent="0.2">
      <c r="A427" s="29" t="s">
        <v>625</v>
      </c>
      <c r="B427" s="30" t="s">
        <v>206</v>
      </c>
      <c r="C427" s="30" t="s">
        <v>352</v>
      </c>
      <c r="D427" s="30" t="s">
        <v>626</v>
      </c>
      <c r="E427" s="36"/>
      <c r="F427" s="45">
        <f>F428+F430</f>
        <v>3000</v>
      </c>
      <c r="G427" s="45">
        <f>G428+G430</f>
        <v>0</v>
      </c>
      <c r="H427" s="45">
        <f>H428+H430</f>
        <v>21100</v>
      </c>
    </row>
    <row r="428" spans="1:8" s="195" customFormat="1" ht="12" x14ac:dyDescent="0.2">
      <c r="A428" s="35" t="s">
        <v>195</v>
      </c>
      <c r="B428" s="211" t="s">
        <v>206</v>
      </c>
      <c r="C428" s="211" t="s">
        <v>352</v>
      </c>
      <c r="D428" s="36" t="s">
        <v>626</v>
      </c>
      <c r="E428" s="36" t="s">
        <v>196</v>
      </c>
      <c r="F428" s="46">
        <f>F429</f>
        <v>3000</v>
      </c>
      <c r="G428" s="46">
        <f>G429</f>
        <v>0</v>
      </c>
      <c r="H428" s="46">
        <f>H429</f>
        <v>3250</v>
      </c>
    </row>
    <row r="429" spans="1:8" s="195" customFormat="1" ht="12" x14ac:dyDescent="0.2">
      <c r="A429" s="35" t="s">
        <v>197</v>
      </c>
      <c r="B429" s="36" t="s">
        <v>206</v>
      </c>
      <c r="C429" s="36" t="s">
        <v>352</v>
      </c>
      <c r="D429" s="36" t="s">
        <v>626</v>
      </c>
      <c r="E429" s="36" t="s">
        <v>198</v>
      </c>
      <c r="F429" s="46">
        <v>3000</v>
      </c>
      <c r="G429" s="46">
        <f>3100-3100</f>
        <v>0</v>
      </c>
      <c r="H429" s="46">
        <v>3250</v>
      </c>
    </row>
    <row r="430" spans="1:8" s="195" customFormat="1" ht="12" x14ac:dyDescent="0.2">
      <c r="A430" s="35" t="s">
        <v>344</v>
      </c>
      <c r="B430" s="211" t="s">
        <v>206</v>
      </c>
      <c r="C430" s="211" t="s">
        <v>352</v>
      </c>
      <c r="D430" s="36" t="s">
        <v>626</v>
      </c>
      <c r="E430" s="36" t="s">
        <v>345</v>
      </c>
      <c r="F430" s="46">
        <f>F431</f>
        <v>0</v>
      </c>
      <c r="G430" s="46">
        <f>G431</f>
        <v>0</v>
      </c>
      <c r="H430" s="46">
        <f>H431</f>
        <v>17850</v>
      </c>
    </row>
    <row r="431" spans="1:8" s="195" customFormat="1" ht="12" x14ac:dyDescent="0.2">
      <c r="A431" s="35" t="s">
        <v>346</v>
      </c>
      <c r="B431" s="36" t="s">
        <v>206</v>
      </c>
      <c r="C431" s="36" t="s">
        <v>352</v>
      </c>
      <c r="D431" s="36" t="s">
        <v>626</v>
      </c>
      <c r="E431" s="36" t="s">
        <v>347</v>
      </c>
      <c r="F431" s="46">
        <v>0</v>
      </c>
      <c r="G431" s="46">
        <f>17000-17000</f>
        <v>0</v>
      </c>
      <c r="H431" s="46">
        <v>17850</v>
      </c>
    </row>
    <row r="432" spans="1:8" s="195" customFormat="1" ht="12" x14ac:dyDescent="0.2">
      <c r="A432" s="29" t="s">
        <v>627</v>
      </c>
      <c r="B432" s="30" t="s">
        <v>206</v>
      </c>
      <c r="C432" s="30" t="s">
        <v>352</v>
      </c>
      <c r="D432" s="30" t="s">
        <v>628</v>
      </c>
      <c r="E432" s="30"/>
      <c r="F432" s="31">
        <f>F433</f>
        <v>313.5</v>
      </c>
      <c r="G432" s="31">
        <f t="shared" ref="G432:H433" si="124">G433</f>
        <v>500</v>
      </c>
      <c r="H432" s="31">
        <f t="shared" si="124"/>
        <v>500</v>
      </c>
    </row>
    <row r="433" spans="1:8" s="195" customFormat="1" ht="12" x14ac:dyDescent="0.2">
      <c r="A433" s="35" t="s">
        <v>195</v>
      </c>
      <c r="B433" s="36" t="s">
        <v>206</v>
      </c>
      <c r="C433" s="36" t="s">
        <v>352</v>
      </c>
      <c r="D433" s="36" t="s">
        <v>628</v>
      </c>
      <c r="E433" s="36" t="s">
        <v>196</v>
      </c>
      <c r="F433" s="37">
        <f>F434</f>
        <v>313.5</v>
      </c>
      <c r="G433" s="37">
        <f t="shared" si="124"/>
        <v>500</v>
      </c>
      <c r="H433" s="37">
        <f t="shared" si="124"/>
        <v>500</v>
      </c>
    </row>
    <row r="434" spans="1:8" s="195" customFormat="1" ht="12" x14ac:dyDescent="0.2">
      <c r="A434" s="35" t="s">
        <v>197</v>
      </c>
      <c r="B434" s="36" t="s">
        <v>206</v>
      </c>
      <c r="C434" s="36" t="s">
        <v>352</v>
      </c>
      <c r="D434" s="36" t="s">
        <v>628</v>
      </c>
      <c r="E434" s="36" t="s">
        <v>198</v>
      </c>
      <c r="F434" s="37">
        <v>313.5</v>
      </c>
      <c r="G434" s="37">
        <v>500</v>
      </c>
      <c r="H434" s="37">
        <v>500</v>
      </c>
    </row>
    <row r="435" spans="1:8" s="195" customFormat="1" ht="12" x14ac:dyDescent="0.2">
      <c r="A435" s="29" t="s">
        <v>629</v>
      </c>
      <c r="B435" s="30" t="s">
        <v>206</v>
      </c>
      <c r="C435" s="30" t="s">
        <v>352</v>
      </c>
      <c r="D435" s="30" t="s">
        <v>630</v>
      </c>
      <c r="E435" s="30"/>
      <c r="F435" s="31">
        <f t="shared" ref="F435:H436" si="125">F436</f>
        <v>4000</v>
      </c>
      <c r="G435" s="45">
        <f t="shared" si="125"/>
        <v>0</v>
      </c>
      <c r="H435" s="45">
        <f t="shared" si="125"/>
        <v>0</v>
      </c>
    </row>
    <row r="436" spans="1:8" s="195" customFormat="1" ht="12" x14ac:dyDescent="0.2">
      <c r="A436" s="35" t="s">
        <v>195</v>
      </c>
      <c r="B436" s="36" t="s">
        <v>206</v>
      </c>
      <c r="C436" s="36" t="s">
        <v>352</v>
      </c>
      <c r="D436" s="36" t="s">
        <v>630</v>
      </c>
      <c r="E436" s="36" t="s">
        <v>196</v>
      </c>
      <c r="F436" s="37">
        <f t="shared" si="125"/>
        <v>4000</v>
      </c>
      <c r="G436" s="46">
        <f t="shared" si="125"/>
        <v>0</v>
      </c>
      <c r="H436" s="46">
        <f t="shared" si="125"/>
        <v>0</v>
      </c>
    </row>
    <row r="437" spans="1:8" s="195" customFormat="1" ht="12" x14ac:dyDescent="0.2">
      <c r="A437" s="35" t="s">
        <v>197</v>
      </c>
      <c r="B437" s="36" t="s">
        <v>206</v>
      </c>
      <c r="C437" s="36" t="s">
        <v>352</v>
      </c>
      <c r="D437" s="36" t="s">
        <v>630</v>
      </c>
      <c r="E437" s="36" t="s">
        <v>198</v>
      </c>
      <c r="F437" s="37">
        <v>4000</v>
      </c>
      <c r="G437" s="46">
        <v>0</v>
      </c>
      <c r="H437" s="46">
        <v>0</v>
      </c>
    </row>
    <row r="438" spans="1:8" s="195" customFormat="1" ht="12" x14ac:dyDescent="0.2">
      <c r="A438" s="39" t="s">
        <v>631</v>
      </c>
      <c r="B438" s="40" t="s">
        <v>206</v>
      </c>
      <c r="C438" s="40" t="s">
        <v>352</v>
      </c>
      <c r="D438" s="40" t="s">
        <v>632</v>
      </c>
      <c r="E438" s="49"/>
      <c r="F438" s="41">
        <f>F439+F444</f>
        <v>51331.1</v>
      </c>
      <c r="G438" s="41">
        <f>G439+G444</f>
        <v>252000</v>
      </c>
      <c r="H438" s="41">
        <f>H439</f>
        <v>24300</v>
      </c>
    </row>
    <row r="439" spans="1:8" s="195" customFormat="1" ht="12" x14ac:dyDescent="0.2">
      <c r="A439" s="29" t="s">
        <v>633</v>
      </c>
      <c r="B439" s="30" t="s">
        <v>206</v>
      </c>
      <c r="C439" s="30" t="s">
        <v>352</v>
      </c>
      <c r="D439" s="30" t="s">
        <v>634</v>
      </c>
      <c r="E439" s="36"/>
      <c r="F439" s="31">
        <f>F440+F442</f>
        <v>23331.1</v>
      </c>
      <c r="G439" s="45">
        <f>G440+G442</f>
        <v>0</v>
      </c>
      <c r="H439" s="31">
        <f>H440+H442</f>
        <v>24300</v>
      </c>
    </row>
    <row r="440" spans="1:8" s="195" customFormat="1" ht="12" x14ac:dyDescent="0.2">
      <c r="A440" s="35" t="s">
        <v>195</v>
      </c>
      <c r="B440" s="36" t="s">
        <v>206</v>
      </c>
      <c r="C440" s="36" t="s">
        <v>352</v>
      </c>
      <c r="D440" s="36" t="s">
        <v>634</v>
      </c>
      <c r="E440" s="36" t="s">
        <v>196</v>
      </c>
      <c r="F440" s="37">
        <f>F441</f>
        <v>8035</v>
      </c>
      <c r="G440" s="46">
        <f t="shared" ref="G440:H440" si="126">G441</f>
        <v>0</v>
      </c>
      <c r="H440" s="37">
        <f t="shared" si="126"/>
        <v>300</v>
      </c>
    </row>
    <row r="441" spans="1:8" s="195" customFormat="1" ht="12" x14ac:dyDescent="0.2">
      <c r="A441" s="35" t="s">
        <v>197</v>
      </c>
      <c r="B441" s="36" t="s">
        <v>206</v>
      </c>
      <c r="C441" s="36" t="s">
        <v>352</v>
      </c>
      <c r="D441" s="36" t="s">
        <v>634</v>
      </c>
      <c r="E441" s="36" t="s">
        <v>198</v>
      </c>
      <c r="F441" s="37">
        <f>1000+6000-6000+7035</f>
        <v>8035</v>
      </c>
      <c r="G441" s="46">
        <f>300-300</f>
        <v>0</v>
      </c>
      <c r="H441" s="46">
        <v>300</v>
      </c>
    </row>
    <row r="442" spans="1:8" s="195" customFormat="1" ht="12" x14ac:dyDescent="0.2">
      <c r="A442" s="35" t="s">
        <v>344</v>
      </c>
      <c r="B442" s="36" t="s">
        <v>206</v>
      </c>
      <c r="C442" s="36" t="s">
        <v>352</v>
      </c>
      <c r="D442" s="36" t="s">
        <v>634</v>
      </c>
      <c r="E442" s="36" t="s">
        <v>345</v>
      </c>
      <c r="F442" s="37">
        <f>F443</f>
        <v>15296.099999999999</v>
      </c>
      <c r="G442" s="46">
        <f t="shared" ref="G442:H442" si="127">G443</f>
        <v>0</v>
      </c>
      <c r="H442" s="37">
        <f t="shared" si="127"/>
        <v>24000</v>
      </c>
    </row>
    <row r="443" spans="1:8" s="196" customFormat="1" ht="12" x14ac:dyDescent="0.2">
      <c r="A443" s="35" t="s">
        <v>346</v>
      </c>
      <c r="B443" s="36" t="s">
        <v>206</v>
      </c>
      <c r="C443" s="36" t="s">
        <v>352</v>
      </c>
      <c r="D443" s="36" t="s">
        <v>634</v>
      </c>
      <c r="E443" s="36" t="s">
        <v>347</v>
      </c>
      <c r="F443" s="37">
        <f>14331.1+6000+2000-7035</f>
        <v>15296.099999999999</v>
      </c>
      <c r="G443" s="46">
        <f>20000-20000</f>
        <v>0</v>
      </c>
      <c r="H443" s="46">
        <v>24000</v>
      </c>
    </row>
    <row r="444" spans="1:8" s="196" customFormat="1" ht="12" x14ac:dyDescent="0.2">
      <c r="A444" s="29" t="s">
        <v>635</v>
      </c>
      <c r="B444" s="30" t="s">
        <v>206</v>
      </c>
      <c r="C444" s="30" t="s">
        <v>352</v>
      </c>
      <c r="D444" s="30" t="s">
        <v>636</v>
      </c>
      <c r="E444" s="36"/>
      <c r="F444" s="31">
        <f>F445</f>
        <v>28000</v>
      </c>
      <c r="G444" s="31">
        <f t="shared" ref="G444:H445" si="128">G445</f>
        <v>252000</v>
      </c>
      <c r="H444" s="45">
        <f t="shared" si="128"/>
        <v>0</v>
      </c>
    </row>
    <row r="445" spans="1:8" s="196" customFormat="1" ht="12" x14ac:dyDescent="0.2">
      <c r="A445" s="35" t="s">
        <v>344</v>
      </c>
      <c r="B445" s="36" t="s">
        <v>206</v>
      </c>
      <c r="C445" s="36" t="s">
        <v>352</v>
      </c>
      <c r="D445" s="36" t="s">
        <v>636</v>
      </c>
      <c r="E445" s="36" t="s">
        <v>345</v>
      </c>
      <c r="F445" s="37">
        <f>F446</f>
        <v>28000</v>
      </c>
      <c r="G445" s="37">
        <f t="shared" si="128"/>
        <v>252000</v>
      </c>
      <c r="H445" s="46">
        <f t="shared" si="128"/>
        <v>0</v>
      </c>
    </row>
    <row r="446" spans="1:8" s="196" customFormat="1" ht="12" x14ac:dyDescent="0.2">
      <c r="A446" s="35" t="s">
        <v>346</v>
      </c>
      <c r="B446" s="36" t="s">
        <v>206</v>
      </c>
      <c r="C446" s="36" t="s">
        <v>352</v>
      </c>
      <c r="D446" s="36" t="s">
        <v>636</v>
      </c>
      <c r="E446" s="36" t="s">
        <v>347</v>
      </c>
      <c r="F446" s="37">
        <v>28000</v>
      </c>
      <c r="G446" s="37">
        <v>252000</v>
      </c>
      <c r="H446" s="46">
        <v>0</v>
      </c>
    </row>
    <row r="447" spans="1:8" s="196" customFormat="1" ht="12" x14ac:dyDescent="0.2">
      <c r="A447" s="39" t="s">
        <v>637</v>
      </c>
      <c r="B447" s="40" t="s">
        <v>206</v>
      </c>
      <c r="C447" s="40" t="s">
        <v>352</v>
      </c>
      <c r="D447" s="40" t="s">
        <v>638</v>
      </c>
      <c r="E447" s="40"/>
      <c r="F447" s="41">
        <f>F448</f>
        <v>3000</v>
      </c>
      <c r="G447" s="41">
        <f t="shared" ref="G447:H449" si="129">G448</f>
        <v>3500</v>
      </c>
      <c r="H447" s="41">
        <f t="shared" si="129"/>
        <v>3500</v>
      </c>
    </row>
    <row r="448" spans="1:8" s="196" customFormat="1" ht="12" x14ac:dyDescent="0.2">
      <c r="A448" s="29" t="s">
        <v>639</v>
      </c>
      <c r="B448" s="30" t="s">
        <v>206</v>
      </c>
      <c r="C448" s="30" t="s">
        <v>352</v>
      </c>
      <c r="D448" s="30" t="s">
        <v>640</v>
      </c>
      <c r="E448" s="30"/>
      <c r="F448" s="31">
        <f>F449</f>
        <v>3000</v>
      </c>
      <c r="G448" s="31">
        <f t="shared" si="129"/>
        <v>3500</v>
      </c>
      <c r="H448" s="31">
        <f t="shared" si="129"/>
        <v>3500</v>
      </c>
    </row>
    <row r="449" spans="1:8" s="196" customFormat="1" ht="12" x14ac:dyDescent="0.2">
      <c r="A449" s="35" t="s">
        <v>195</v>
      </c>
      <c r="B449" s="36" t="s">
        <v>206</v>
      </c>
      <c r="C449" s="36" t="s">
        <v>352</v>
      </c>
      <c r="D449" s="36" t="s">
        <v>640</v>
      </c>
      <c r="E449" s="36" t="s">
        <v>196</v>
      </c>
      <c r="F449" s="37">
        <f>F450</f>
        <v>3000</v>
      </c>
      <c r="G449" s="37">
        <f t="shared" si="129"/>
        <v>3500</v>
      </c>
      <c r="H449" s="37">
        <f t="shared" si="129"/>
        <v>3500</v>
      </c>
    </row>
    <row r="450" spans="1:8" s="196" customFormat="1" ht="12" x14ac:dyDescent="0.2">
      <c r="A450" s="35" t="s">
        <v>197</v>
      </c>
      <c r="B450" s="36" t="s">
        <v>206</v>
      </c>
      <c r="C450" s="36" t="s">
        <v>352</v>
      </c>
      <c r="D450" s="36" t="s">
        <v>640</v>
      </c>
      <c r="E450" s="36" t="s">
        <v>198</v>
      </c>
      <c r="F450" s="37">
        <v>3000</v>
      </c>
      <c r="G450" s="37">
        <v>3500</v>
      </c>
      <c r="H450" s="37">
        <v>3500</v>
      </c>
    </row>
    <row r="451" spans="1:8" s="196" customFormat="1" ht="12" x14ac:dyDescent="0.2">
      <c r="A451" s="29" t="s">
        <v>778</v>
      </c>
      <c r="B451" s="30" t="s">
        <v>206</v>
      </c>
      <c r="C451" s="30" t="s">
        <v>352</v>
      </c>
      <c r="D451" s="30" t="s">
        <v>642</v>
      </c>
      <c r="E451" s="30"/>
      <c r="F451" s="45">
        <f t="shared" ref="F451:H453" si="130">F452</f>
        <v>2100</v>
      </c>
      <c r="G451" s="45">
        <f t="shared" si="130"/>
        <v>0</v>
      </c>
      <c r="H451" s="45">
        <f t="shared" si="130"/>
        <v>0</v>
      </c>
    </row>
    <row r="452" spans="1:8" s="196" customFormat="1" ht="12" x14ac:dyDescent="0.2">
      <c r="A452" s="39" t="s">
        <v>643</v>
      </c>
      <c r="B452" s="36" t="s">
        <v>206</v>
      </c>
      <c r="C452" s="36" t="s">
        <v>352</v>
      </c>
      <c r="D452" s="40" t="s">
        <v>644</v>
      </c>
      <c r="E452" s="40"/>
      <c r="F452" s="47">
        <f t="shared" si="130"/>
        <v>2100</v>
      </c>
      <c r="G452" s="47">
        <f t="shared" si="130"/>
        <v>0</v>
      </c>
      <c r="H452" s="47">
        <f t="shared" si="130"/>
        <v>0</v>
      </c>
    </row>
    <row r="453" spans="1:8" s="196" customFormat="1" ht="12" x14ac:dyDescent="0.2">
      <c r="A453" s="35" t="s">
        <v>195</v>
      </c>
      <c r="B453" s="36" t="s">
        <v>206</v>
      </c>
      <c r="C453" s="36" t="s">
        <v>352</v>
      </c>
      <c r="D453" s="36" t="s">
        <v>644</v>
      </c>
      <c r="E453" s="36" t="s">
        <v>196</v>
      </c>
      <c r="F453" s="46">
        <f t="shared" si="130"/>
        <v>2100</v>
      </c>
      <c r="G453" s="46">
        <f t="shared" si="130"/>
        <v>0</v>
      </c>
      <c r="H453" s="46">
        <f t="shared" si="130"/>
        <v>0</v>
      </c>
    </row>
    <row r="454" spans="1:8" s="196" customFormat="1" ht="12" x14ac:dyDescent="0.2">
      <c r="A454" s="35" t="s">
        <v>197</v>
      </c>
      <c r="B454" s="36" t="s">
        <v>206</v>
      </c>
      <c r="C454" s="36" t="s">
        <v>352</v>
      </c>
      <c r="D454" s="36" t="s">
        <v>644</v>
      </c>
      <c r="E454" s="36" t="s">
        <v>198</v>
      </c>
      <c r="F454" s="46">
        <v>2100</v>
      </c>
      <c r="G454" s="46">
        <v>0</v>
      </c>
      <c r="H454" s="46">
        <v>0</v>
      </c>
    </row>
    <row r="455" spans="1:8" s="196" customFormat="1" ht="12" x14ac:dyDescent="0.2">
      <c r="A455" s="39" t="s">
        <v>551</v>
      </c>
      <c r="B455" s="40" t="s">
        <v>206</v>
      </c>
      <c r="C455" s="40" t="s">
        <v>352</v>
      </c>
      <c r="D455" s="40" t="s">
        <v>552</v>
      </c>
      <c r="E455" s="40"/>
      <c r="F455" s="47">
        <f>F456+F459</f>
        <v>150</v>
      </c>
      <c r="G455" s="41">
        <f>G456+G459</f>
        <v>49000</v>
      </c>
      <c r="H455" s="41">
        <f>H456+H459</f>
        <v>60000</v>
      </c>
    </row>
    <row r="456" spans="1:8" s="196" customFormat="1" ht="12" x14ac:dyDescent="0.2">
      <c r="A456" s="29" t="s">
        <v>565</v>
      </c>
      <c r="B456" s="30" t="s">
        <v>206</v>
      </c>
      <c r="C456" s="30" t="s">
        <v>352</v>
      </c>
      <c r="D456" s="30" t="s">
        <v>566</v>
      </c>
      <c r="E456" s="30"/>
      <c r="F456" s="45">
        <f>F457</f>
        <v>0</v>
      </c>
      <c r="G456" s="45">
        <f t="shared" ref="G456:H457" si="131">G457</f>
        <v>45000</v>
      </c>
      <c r="H456" s="45">
        <f t="shared" si="131"/>
        <v>55000</v>
      </c>
    </row>
    <row r="457" spans="1:8" s="196" customFormat="1" ht="12" x14ac:dyDescent="0.2">
      <c r="A457" s="35" t="s">
        <v>344</v>
      </c>
      <c r="B457" s="36" t="s">
        <v>206</v>
      </c>
      <c r="C457" s="36" t="s">
        <v>352</v>
      </c>
      <c r="D457" s="36" t="s">
        <v>566</v>
      </c>
      <c r="E457" s="36" t="s">
        <v>345</v>
      </c>
      <c r="F457" s="46">
        <f>F458</f>
        <v>0</v>
      </c>
      <c r="G457" s="46">
        <f t="shared" si="131"/>
        <v>45000</v>
      </c>
      <c r="H457" s="46">
        <f t="shared" si="131"/>
        <v>55000</v>
      </c>
    </row>
    <row r="458" spans="1:8" s="196" customFormat="1" ht="12" x14ac:dyDescent="0.2">
      <c r="A458" s="35" t="s">
        <v>346</v>
      </c>
      <c r="B458" s="36" t="s">
        <v>206</v>
      </c>
      <c r="C458" s="36" t="s">
        <v>352</v>
      </c>
      <c r="D458" s="36" t="s">
        <v>566</v>
      </c>
      <c r="E458" s="36" t="s">
        <v>347</v>
      </c>
      <c r="F458" s="46">
        <v>0</v>
      </c>
      <c r="G458" s="46">
        <f>50000-5000</f>
        <v>45000</v>
      </c>
      <c r="H458" s="46">
        <v>55000</v>
      </c>
    </row>
    <row r="459" spans="1:8" s="196" customFormat="1" ht="12" x14ac:dyDescent="0.2">
      <c r="A459" s="50" t="s">
        <v>555</v>
      </c>
      <c r="B459" s="30" t="s">
        <v>206</v>
      </c>
      <c r="C459" s="30" t="s">
        <v>352</v>
      </c>
      <c r="D459" s="30" t="s">
        <v>556</v>
      </c>
      <c r="E459" s="30"/>
      <c r="F459" s="45">
        <f>F462+F460</f>
        <v>150</v>
      </c>
      <c r="G459" s="45">
        <f>G462+G460</f>
        <v>4000</v>
      </c>
      <c r="H459" s="45">
        <f>H462+H460</f>
        <v>5000</v>
      </c>
    </row>
    <row r="460" spans="1:8" s="196" customFormat="1" ht="12" x14ac:dyDescent="0.2">
      <c r="A460" s="35" t="s">
        <v>195</v>
      </c>
      <c r="B460" s="36" t="s">
        <v>206</v>
      </c>
      <c r="C460" s="36" t="s">
        <v>352</v>
      </c>
      <c r="D460" s="36" t="s">
        <v>556</v>
      </c>
      <c r="E460" s="36" t="s">
        <v>196</v>
      </c>
      <c r="F460" s="37">
        <f>F461</f>
        <v>34</v>
      </c>
      <c r="G460" s="46">
        <f>G461</f>
        <v>0</v>
      </c>
      <c r="H460" s="46">
        <f>H461</f>
        <v>0</v>
      </c>
    </row>
    <row r="461" spans="1:8" s="196" customFormat="1" ht="12" x14ac:dyDescent="0.2">
      <c r="A461" s="35" t="s">
        <v>197</v>
      </c>
      <c r="B461" s="36" t="s">
        <v>206</v>
      </c>
      <c r="C461" s="36" t="s">
        <v>352</v>
      </c>
      <c r="D461" s="36" t="s">
        <v>556</v>
      </c>
      <c r="E461" s="36" t="s">
        <v>198</v>
      </c>
      <c r="F461" s="37">
        <f>12+22</f>
        <v>34</v>
      </c>
      <c r="G461" s="46">
        <v>0</v>
      </c>
      <c r="H461" s="46">
        <v>0</v>
      </c>
    </row>
    <row r="462" spans="1:8" s="196" customFormat="1" ht="12" x14ac:dyDescent="0.2">
      <c r="A462" s="35" t="s">
        <v>344</v>
      </c>
      <c r="B462" s="36" t="s">
        <v>206</v>
      </c>
      <c r="C462" s="36" t="s">
        <v>352</v>
      </c>
      <c r="D462" s="36" t="s">
        <v>556</v>
      </c>
      <c r="E462" s="36" t="s">
        <v>345</v>
      </c>
      <c r="F462" s="46">
        <f>F463</f>
        <v>116</v>
      </c>
      <c r="G462" s="37">
        <f t="shared" ref="G462:H462" si="132">G463</f>
        <v>4000</v>
      </c>
      <c r="H462" s="37">
        <f t="shared" si="132"/>
        <v>5000</v>
      </c>
    </row>
    <row r="463" spans="1:8" s="196" customFormat="1" ht="12" x14ac:dyDescent="0.2">
      <c r="A463" s="35" t="s">
        <v>346</v>
      </c>
      <c r="B463" s="36" t="s">
        <v>206</v>
      </c>
      <c r="C463" s="36" t="s">
        <v>352</v>
      </c>
      <c r="D463" s="36" t="s">
        <v>556</v>
      </c>
      <c r="E463" s="36" t="s">
        <v>347</v>
      </c>
      <c r="F463" s="46">
        <f>50+100-12-22</f>
        <v>116</v>
      </c>
      <c r="G463" s="46">
        <f>5000-1000</f>
        <v>4000</v>
      </c>
      <c r="H463" s="46">
        <v>5000</v>
      </c>
    </row>
    <row r="464" spans="1:8" s="196" customFormat="1" ht="12" x14ac:dyDescent="0.2">
      <c r="A464" s="29" t="s">
        <v>368</v>
      </c>
      <c r="B464" s="30" t="s">
        <v>206</v>
      </c>
      <c r="C464" s="30" t="s">
        <v>283</v>
      </c>
      <c r="D464" s="30"/>
      <c r="E464" s="30"/>
      <c r="F464" s="31">
        <f>F465+F490+F498+F505+F512</f>
        <v>1265295.2793999999</v>
      </c>
      <c r="G464" s="31">
        <f>G465+G490+G498+G505+G512</f>
        <v>778360.6</v>
      </c>
      <c r="H464" s="31">
        <f>H465+H490+H498+H505+H512</f>
        <v>686569.5</v>
      </c>
    </row>
    <row r="465" spans="1:8" s="196" customFormat="1" ht="12" x14ac:dyDescent="0.2">
      <c r="A465" s="39" t="s">
        <v>516</v>
      </c>
      <c r="B465" s="40" t="s">
        <v>206</v>
      </c>
      <c r="C465" s="40" t="s">
        <v>283</v>
      </c>
      <c r="D465" s="43" t="s">
        <v>511</v>
      </c>
      <c r="E465" s="40"/>
      <c r="F465" s="41">
        <f>F466+F469+F472+F475+F478+F481+F484+F487</f>
        <v>991706.88500000001</v>
      </c>
      <c r="G465" s="41">
        <f>G466+G469+G472+G475+G478+G481+G484+G487</f>
        <v>594084.1</v>
      </c>
      <c r="H465" s="41">
        <f>H466+H469+H472+H475+H478+H481+H484+H487</f>
        <v>485539.4</v>
      </c>
    </row>
    <row r="466" spans="1:8" s="196" customFormat="1" ht="12" x14ac:dyDescent="0.2">
      <c r="A466" s="50" t="s">
        <v>517</v>
      </c>
      <c r="B466" s="30" t="s">
        <v>206</v>
      </c>
      <c r="C466" s="30" t="s">
        <v>283</v>
      </c>
      <c r="D466" s="30" t="s">
        <v>518</v>
      </c>
      <c r="E466" s="30"/>
      <c r="F466" s="31">
        <f>F467</f>
        <v>202835.58500000002</v>
      </c>
      <c r="G466" s="31">
        <f t="shared" ref="G466:H467" si="133">G467</f>
        <v>83017.8</v>
      </c>
      <c r="H466" s="31">
        <f t="shared" si="133"/>
        <v>67957</v>
      </c>
    </row>
    <row r="467" spans="1:8" s="196" customFormat="1" ht="12" x14ac:dyDescent="0.2">
      <c r="A467" s="35" t="s">
        <v>195</v>
      </c>
      <c r="B467" s="36" t="s">
        <v>206</v>
      </c>
      <c r="C467" s="36" t="s">
        <v>283</v>
      </c>
      <c r="D467" s="36" t="s">
        <v>518</v>
      </c>
      <c r="E467" s="36" t="s">
        <v>196</v>
      </c>
      <c r="F467" s="37">
        <f>F468</f>
        <v>202835.58500000002</v>
      </c>
      <c r="G467" s="37">
        <f t="shared" si="133"/>
        <v>83017.8</v>
      </c>
      <c r="H467" s="37">
        <f t="shared" si="133"/>
        <v>67957</v>
      </c>
    </row>
    <row r="468" spans="1:8" s="196" customFormat="1" ht="12" x14ac:dyDescent="0.2">
      <c r="A468" s="35" t="s">
        <v>197</v>
      </c>
      <c r="B468" s="36" t="s">
        <v>206</v>
      </c>
      <c r="C468" s="36" t="s">
        <v>283</v>
      </c>
      <c r="D468" s="36" t="s">
        <v>518</v>
      </c>
      <c r="E468" s="36" t="s">
        <v>198</v>
      </c>
      <c r="F468" s="37">
        <f>101364.8+80000-10000-30503+7189.57+5836.2+27184.105+1763.91+10000+10000</f>
        <v>202835.58500000002</v>
      </c>
      <c r="G468" s="37">
        <f>103000-20000+20000-19982.2</f>
        <v>83017.8</v>
      </c>
      <c r="H468" s="37">
        <f>103000-50000+14957</f>
        <v>67957</v>
      </c>
    </row>
    <row r="469" spans="1:8" s="196" customFormat="1" ht="12" x14ac:dyDescent="0.2">
      <c r="A469" s="29" t="s">
        <v>519</v>
      </c>
      <c r="B469" s="30" t="s">
        <v>206</v>
      </c>
      <c r="C469" s="30" t="s">
        <v>283</v>
      </c>
      <c r="D469" s="30" t="s">
        <v>520</v>
      </c>
      <c r="E469" s="30"/>
      <c r="F469" s="31">
        <f>F470</f>
        <v>1000</v>
      </c>
      <c r="G469" s="31">
        <f t="shared" ref="G469:H470" si="134">G470</f>
        <v>1000</v>
      </c>
      <c r="H469" s="31">
        <f t="shared" si="134"/>
        <v>1000</v>
      </c>
    </row>
    <row r="470" spans="1:8" s="196" customFormat="1" ht="12" x14ac:dyDescent="0.2">
      <c r="A470" s="35" t="s">
        <v>195</v>
      </c>
      <c r="B470" s="36" t="s">
        <v>206</v>
      </c>
      <c r="C470" s="36" t="s">
        <v>283</v>
      </c>
      <c r="D470" s="36" t="s">
        <v>520</v>
      </c>
      <c r="E470" s="36" t="s">
        <v>196</v>
      </c>
      <c r="F470" s="37">
        <f>F471</f>
        <v>1000</v>
      </c>
      <c r="G470" s="37">
        <f t="shared" si="134"/>
        <v>1000</v>
      </c>
      <c r="H470" s="37">
        <f t="shared" si="134"/>
        <v>1000</v>
      </c>
    </row>
    <row r="471" spans="1:8" s="196" customFormat="1" ht="12" x14ac:dyDescent="0.2">
      <c r="A471" s="35" t="s">
        <v>197</v>
      </c>
      <c r="B471" s="36" t="s">
        <v>206</v>
      </c>
      <c r="C471" s="36" t="s">
        <v>283</v>
      </c>
      <c r="D471" s="36" t="s">
        <v>520</v>
      </c>
      <c r="E471" s="36" t="s">
        <v>198</v>
      </c>
      <c r="F471" s="37">
        <v>1000</v>
      </c>
      <c r="G471" s="37">
        <v>1000</v>
      </c>
      <c r="H471" s="37">
        <v>1000</v>
      </c>
    </row>
    <row r="472" spans="1:8" s="196" customFormat="1" ht="12" x14ac:dyDescent="0.2">
      <c r="A472" s="29" t="s">
        <v>521</v>
      </c>
      <c r="B472" s="30" t="s">
        <v>206</v>
      </c>
      <c r="C472" s="30" t="s">
        <v>283</v>
      </c>
      <c r="D472" s="30" t="s">
        <v>522</v>
      </c>
      <c r="E472" s="30"/>
      <c r="F472" s="45">
        <f>F473</f>
        <v>7000</v>
      </c>
      <c r="G472" s="45">
        <f t="shared" ref="G472:H473" si="135">G473</f>
        <v>7000</v>
      </c>
      <c r="H472" s="45">
        <f t="shared" si="135"/>
        <v>7000</v>
      </c>
    </row>
    <row r="473" spans="1:8" s="196" customFormat="1" ht="12" x14ac:dyDescent="0.2">
      <c r="A473" s="35" t="s">
        <v>195</v>
      </c>
      <c r="B473" s="36" t="s">
        <v>206</v>
      </c>
      <c r="C473" s="36" t="s">
        <v>283</v>
      </c>
      <c r="D473" s="36" t="s">
        <v>522</v>
      </c>
      <c r="E473" s="36" t="s">
        <v>196</v>
      </c>
      <c r="F473" s="46">
        <f>F474</f>
        <v>7000</v>
      </c>
      <c r="G473" s="46">
        <f t="shared" si="135"/>
        <v>7000</v>
      </c>
      <c r="H473" s="46">
        <f t="shared" si="135"/>
        <v>7000</v>
      </c>
    </row>
    <row r="474" spans="1:8" s="196" customFormat="1" ht="12" x14ac:dyDescent="0.2">
      <c r="A474" s="35" t="s">
        <v>197</v>
      </c>
      <c r="B474" s="36" t="s">
        <v>206</v>
      </c>
      <c r="C474" s="36" t="s">
        <v>283</v>
      </c>
      <c r="D474" s="36" t="s">
        <v>522</v>
      </c>
      <c r="E474" s="36" t="s">
        <v>198</v>
      </c>
      <c r="F474" s="46">
        <v>7000</v>
      </c>
      <c r="G474" s="37">
        <v>7000</v>
      </c>
      <c r="H474" s="37">
        <v>7000</v>
      </c>
    </row>
    <row r="475" spans="1:8" s="196" customFormat="1" ht="24" x14ac:dyDescent="0.2">
      <c r="A475" s="50" t="s">
        <v>523</v>
      </c>
      <c r="B475" s="30" t="s">
        <v>206</v>
      </c>
      <c r="C475" s="30" t="s">
        <v>283</v>
      </c>
      <c r="D475" s="30" t="s">
        <v>524</v>
      </c>
      <c r="E475" s="30"/>
      <c r="F475" s="31">
        <f>F476</f>
        <v>32263.5</v>
      </c>
      <c r="G475" s="31">
        <f t="shared" ref="G475:H476" si="136">G476</f>
        <v>7000</v>
      </c>
      <c r="H475" s="31">
        <f t="shared" si="136"/>
        <v>7000</v>
      </c>
    </row>
    <row r="476" spans="1:8" s="196" customFormat="1" ht="12" x14ac:dyDescent="0.2">
      <c r="A476" s="35" t="s">
        <v>195</v>
      </c>
      <c r="B476" s="36" t="s">
        <v>206</v>
      </c>
      <c r="C476" s="36" t="s">
        <v>283</v>
      </c>
      <c r="D476" s="36" t="s">
        <v>524</v>
      </c>
      <c r="E476" s="36" t="s">
        <v>196</v>
      </c>
      <c r="F476" s="37">
        <f>F477</f>
        <v>32263.5</v>
      </c>
      <c r="G476" s="37">
        <f t="shared" si="136"/>
        <v>7000</v>
      </c>
      <c r="H476" s="37">
        <f t="shared" si="136"/>
        <v>7000</v>
      </c>
    </row>
    <row r="477" spans="1:8" s="196" customFormat="1" ht="12" x14ac:dyDescent="0.2">
      <c r="A477" s="35" t="s">
        <v>197</v>
      </c>
      <c r="B477" s="36" t="s">
        <v>206</v>
      </c>
      <c r="C477" s="36" t="s">
        <v>283</v>
      </c>
      <c r="D477" s="36" t="s">
        <v>524</v>
      </c>
      <c r="E477" s="36" t="s">
        <v>198</v>
      </c>
      <c r="F477" s="37">
        <f>7000+10000+1230.38+222.42+1810.7+12000</f>
        <v>32263.5</v>
      </c>
      <c r="G477" s="37">
        <v>7000</v>
      </c>
      <c r="H477" s="37">
        <v>7000</v>
      </c>
    </row>
    <row r="478" spans="1:8" s="196" customFormat="1" ht="12" x14ac:dyDescent="0.2">
      <c r="A478" s="50" t="s">
        <v>525</v>
      </c>
      <c r="B478" s="30" t="s">
        <v>206</v>
      </c>
      <c r="C478" s="30" t="s">
        <v>283</v>
      </c>
      <c r="D478" s="55" t="s">
        <v>526</v>
      </c>
      <c r="E478" s="55"/>
      <c r="F478" s="31">
        <f>F479</f>
        <v>5000</v>
      </c>
      <c r="G478" s="31">
        <f t="shared" ref="G478:H479" si="137">G479</f>
        <v>5000</v>
      </c>
      <c r="H478" s="31">
        <f t="shared" si="137"/>
        <v>5000</v>
      </c>
    </row>
    <row r="479" spans="1:8" s="196" customFormat="1" ht="12" x14ac:dyDescent="0.2">
      <c r="A479" s="35" t="s">
        <v>195</v>
      </c>
      <c r="B479" s="36" t="s">
        <v>206</v>
      </c>
      <c r="C479" s="36" t="s">
        <v>283</v>
      </c>
      <c r="D479" s="48" t="s">
        <v>526</v>
      </c>
      <c r="E479" s="36" t="s">
        <v>196</v>
      </c>
      <c r="F479" s="37">
        <f>F480</f>
        <v>5000</v>
      </c>
      <c r="G479" s="37">
        <f t="shared" si="137"/>
        <v>5000</v>
      </c>
      <c r="H479" s="37">
        <f t="shared" si="137"/>
        <v>5000</v>
      </c>
    </row>
    <row r="480" spans="1:8" s="196" customFormat="1" ht="12" x14ac:dyDescent="0.2">
      <c r="A480" s="35" t="s">
        <v>197</v>
      </c>
      <c r="B480" s="36" t="s">
        <v>206</v>
      </c>
      <c r="C480" s="36" t="s">
        <v>283</v>
      </c>
      <c r="D480" s="48" t="s">
        <v>526</v>
      </c>
      <c r="E480" s="36" t="s">
        <v>198</v>
      </c>
      <c r="F480" s="37">
        <v>5000</v>
      </c>
      <c r="G480" s="37">
        <v>5000</v>
      </c>
      <c r="H480" s="37">
        <v>5000</v>
      </c>
    </row>
    <row r="481" spans="1:8" s="196" customFormat="1" ht="12" x14ac:dyDescent="0.2">
      <c r="A481" s="29" t="s">
        <v>527</v>
      </c>
      <c r="B481" s="30" t="s">
        <v>206</v>
      </c>
      <c r="C481" s="30" t="s">
        <v>283</v>
      </c>
      <c r="D481" s="30" t="s">
        <v>528</v>
      </c>
      <c r="E481" s="30"/>
      <c r="F481" s="31">
        <f>F482</f>
        <v>149000</v>
      </c>
      <c r="G481" s="31">
        <f t="shared" ref="G481:H482" si="138">G482</f>
        <v>98873</v>
      </c>
      <c r="H481" s="31">
        <f t="shared" si="138"/>
        <v>50000</v>
      </c>
    </row>
    <row r="482" spans="1:8" s="196" customFormat="1" ht="12" x14ac:dyDescent="0.2">
      <c r="A482" s="35" t="s">
        <v>195</v>
      </c>
      <c r="B482" s="36" t="s">
        <v>206</v>
      </c>
      <c r="C482" s="36" t="s">
        <v>283</v>
      </c>
      <c r="D482" s="36" t="s">
        <v>528</v>
      </c>
      <c r="E482" s="36" t="s">
        <v>196</v>
      </c>
      <c r="F482" s="37">
        <f>F483</f>
        <v>149000</v>
      </c>
      <c r="G482" s="37">
        <f t="shared" si="138"/>
        <v>98873</v>
      </c>
      <c r="H482" s="37">
        <f t="shared" si="138"/>
        <v>50000</v>
      </c>
    </row>
    <row r="483" spans="1:8" s="196" customFormat="1" ht="12" x14ac:dyDescent="0.2">
      <c r="A483" s="35" t="s">
        <v>197</v>
      </c>
      <c r="B483" s="36" t="s">
        <v>206</v>
      </c>
      <c r="C483" s="36" t="s">
        <v>283</v>
      </c>
      <c r="D483" s="36" t="s">
        <v>528</v>
      </c>
      <c r="E483" s="36" t="s">
        <v>198</v>
      </c>
      <c r="F483" s="37">
        <f>100000+52000-13000+10000</f>
        <v>149000</v>
      </c>
      <c r="G483" s="37">
        <f>100000-5000-10000+13873</f>
        <v>98873</v>
      </c>
      <c r="H483" s="37">
        <f>100000-50000</f>
        <v>50000</v>
      </c>
    </row>
    <row r="484" spans="1:8" s="196" customFormat="1" ht="24" x14ac:dyDescent="0.2">
      <c r="A484" s="29" t="s">
        <v>529</v>
      </c>
      <c r="B484" s="30" t="s">
        <v>206</v>
      </c>
      <c r="C484" s="30" t="s">
        <v>283</v>
      </c>
      <c r="D484" s="30" t="s">
        <v>530</v>
      </c>
      <c r="E484" s="30"/>
      <c r="F484" s="31">
        <f>F485</f>
        <v>478593.39999999997</v>
      </c>
      <c r="G484" s="31">
        <f t="shared" ref="G484:H485" si="139">G485</f>
        <v>311128.90000000002</v>
      </c>
      <c r="H484" s="31">
        <f t="shared" si="139"/>
        <v>271518</v>
      </c>
    </row>
    <row r="485" spans="1:8" s="196" customFormat="1" ht="12" x14ac:dyDescent="0.2">
      <c r="A485" s="35" t="s">
        <v>356</v>
      </c>
      <c r="B485" s="36" t="s">
        <v>206</v>
      </c>
      <c r="C485" s="36" t="s">
        <v>283</v>
      </c>
      <c r="D485" s="36" t="s">
        <v>530</v>
      </c>
      <c r="E485" s="36" t="s">
        <v>357</v>
      </c>
      <c r="F485" s="37">
        <f>F486</f>
        <v>478593.39999999997</v>
      </c>
      <c r="G485" s="37">
        <f t="shared" si="139"/>
        <v>311128.90000000002</v>
      </c>
      <c r="H485" s="37">
        <f t="shared" si="139"/>
        <v>271518</v>
      </c>
    </row>
    <row r="486" spans="1:8" s="196" customFormat="1" ht="12" x14ac:dyDescent="0.2">
      <c r="A486" s="35" t="s">
        <v>358</v>
      </c>
      <c r="B486" s="36" t="s">
        <v>206</v>
      </c>
      <c r="C486" s="36" t="s">
        <v>283</v>
      </c>
      <c r="D486" s="36" t="s">
        <v>530</v>
      </c>
      <c r="E486" s="36" t="s">
        <v>359</v>
      </c>
      <c r="F486" s="37">
        <f>346949.5+649+3905.5+24571.8+7000+3890+8500+15000+30503+33624.6+4000</f>
        <v>478593.39999999997</v>
      </c>
      <c r="G486" s="37">
        <f>346949.5+649-46080.5-5000-5371.3+19982.2</f>
        <v>311128.90000000002</v>
      </c>
      <c r="H486" s="37">
        <f>346949.5+649-46080.5-30000</f>
        <v>271518</v>
      </c>
    </row>
    <row r="487" spans="1:8" s="196" customFormat="1" ht="12" x14ac:dyDescent="0.2">
      <c r="A487" s="29" t="s">
        <v>531</v>
      </c>
      <c r="B487" s="30" t="s">
        <v>206</v>
      </c>
      <c r="C487" s="30" t="s">
        <v>283</v>
      </c>
      <c r="D487" s="30" t="s">
        <v>532</v>
      </c>
      <c r="E487" s="30"/>
      <c r="F487" s="31">
        <f>F488</f>
        <v>116014.39999999999</v>
      </c>
      <c r="G487" s="31">
        <f t="shared" ref="G487:H488" si="140">G488</f>
        <v>81064.399999999994</v>
      </c>
      <c r="H487" s="31">
        <f t="shared" si="140"/>
        <v>76064.399999999994</v>
      </c>
    </row>
    <row r="488" spans="1:8" s="196" customFormat="1" ht="12" x14ac:dyDescent="0.2">
      <c r="A488" s="35" t="s">
        <v>195</v>
      </c>
      <c r="B488" s="36" t="s">
        <v>206</v>
      </c>
      <c r="C488" s="36" t="s">
        <v>283</v>
      </c>
      <c r="D488" s="36" t="s">
        <v>532</v>
      </c>
      <c r="E488" s="36" t="s">
        <v>196</v>
      </c>
      <c r="F488" s="37">
        <f>F489</f>
        <v>116014.39999999999</v>
      </c>
      <c r="G488" s="37">
        <f t="shared" si="140"/>
        <v>81064.399999999994</v>
      </c>
      <c r="H488" s="37">
        <f t="shared" si="140"/>
        <v>76064.399999999994</v>
      </c>
    </row>
    <row r="489" spans="1:8" s="196" customFormat="1" ht="12" x14ac:dyDescent="0.2">
      <c r="A489" s="35" t="s">
        <v>197</v>
      </c>
      <c r="B489" s="36" t="s">
        <v>206</v>
      </c>
      <c r="C489" s="36" t="s">
        <v>283</v>
      </c>
      <c r="D489" s="36" t="s">
        <v>532</v>
      </c>
      <c r="E489" s="36" t="s">
        <v>198</v>
      </c>
      <c r="F489" s="37">
        <f>101064.4+15000+450-8500+8000</f>
        <v>116014.39999999999</v>
      </c>
      <c r="G489" s="37">
        <f>101064.4-5000-15000</f>
        <v>81064.399999999994</v>
      </c>
      <c r="H489" s="37">
        <f>101064.4-25000</f>
        <v>76064.399999999994</v>
      </c>
    </row>
    <row r="490" spans="1:8" s="196" customFormat="1" ht="24" x14ac:dyDescent="0.2">
      <c r="A490" s="39" t="s">
        <v>586</v>
      </c>
      <c r="B490" s="40" t="s">
        <v>206</v>
      </c>
      <c r="C490" s="40" t="s">
        <v>283</v>
      </c>
      <c r="D490" s="40" t="s">
        <v>587</v>
      </c>
      <c r="E490" s="40"/>
      <c r="F490" s="41">
        <f>F491</f>
        <v>140090</v>
      </c>
      <c r="G490" s="41">
        <f t="shared" ref="G490:H490" si="141">G491</f>
        <v>142576.5</v>
      </c>
      <c r="H490" s="41">
        <f t="shared" si="141"/>
        <v>157405.1</v>
      </c>
    </row>
    <row r="491" spans="1:8" s="196" customFormat="1" ht="12" x14ac:dyDescent="0.2">
      <c r="A491" s="39" t="s">
        <v>637</v>
      </c>
      <c r="B491" s="40" t="s">
        <v>206</v>
      </c>
      <c r="C491" s="40" t="s">
        <v>283</v>
      </c>
      <c r="D491" s="40" t="s">
        <v>638</v>
      </c>
      <c r="E491" s="40"/>
      <c r="F491" s="41">
        <f>F492+F495</f>
        <v>140090</v>
      </c>
      <c r="G491" s="41">
        <f>G492+G495</f>
        <v>142576.5</v>
      </c>
      <c r="H491" s="41">
        <f>H492+H495</f>
        <v>157405.1</v>
      </c>
    </row>
    <row r="492" spans="1:8" s="196" customFormat="1" ht="12" x14ac:dyDescent="0.2">
      <c r="A492" s="29" t="s">
        <v>645</v>
      </c>
      <c r="B492" s="30" t="s">
        <v>206</v>
      </c>
      <c r="C492" s="30" t="s">
        <v>283</v>
      </c>
      <c r="D492" s="30" t="s">
        <v>646</v>
      </c>
      <c r="E492" s="36"/>
      <c r="F492" s="31">
        <f>F493</f>
        <v>35590</v>
      </c>
      <c r="G492" s="31">
        <f t="shared" ref="G492:H493" si="142">G493</f>
        <v>37725.4</v>
      </c>
      <c r="H492" s="31">
        <f t="shared" si="142"/>
        <v>39988.9</v>
      </c>
    </row>
    <row r="493" spans="1:8" s="196" customFormat="1" ht="12" x14ac:dyDescent="0.2">
      <c r="A493" s="35" t="s">
        <v>356</v>
      </c>
      <c r="B493" s="36" t="s">
        <v>206</v>
      </c>
      <c r="C493" s="36" t="s">
        <v>283</v>
      </c>
      <c r="D493" s="36" t="s">
        <v>646</v>
      </c>
      <c r="E493" s="36" t="s">
        <v>357</v>
      </c>
      <c r="F493" s="37">
        <f>F494</f>
        <v>35590</v>
      </c>
      <c r="G493" s="37">
        <f t="shared" si="142"/>
        <v>37725.4</v>
      </c>
      <c r="H493" s="37">
        <f t="shared" si="142"/>
        <v>39988.9</v>
      </c>
    </row>
    <row r="494" spans="1:8" s="196" customFormat="1" ht="12" x14ac:dyDescent="0.2">
      <c r="A494" s="35" t="s">
        <v>358</v>
      </c>
      <c r="B494" s="36" t="s">
        <v>206</v>
      </c>
      <c r="C494" s="36" t="s">
        <v>283</v>
      </c>
      <c r="D494" s="36" t="s">
        <v>646</v>
      </c>
      <c r="E494" s="36" t="s">
        <v>359</v>
      </c>
      <c r="F494" s="37">
        <v>35590</v>
      </c>
      <c r="G494" s="37">
        <v>37725.4</v>
      </c>
      <c r="H494" s="37">
        <v>39988.9</v>
      </c>
    </row>
    <row r="495" spans="1:8" s="196" customFormat="1" ht="12" x14ac:dyDescent="0.2">
      <c r="A495" s="29" t="s">
        <v>647</v>
      </c>
      <c r="B495" s="30" t="s">
        <v>206</v>
      </c>
      <c r="C495" s="30" t="s">
        <v>283</v>
      </c>
      <c r="D495" s="30" t="s">
        <v>648</v>
      </c>
      <c r="E495" s="30"/>
      <c r="F495" s="31">
        <f>F496</f>
        <v>104500</v>
      </c>
      <c r="G495" s="31">
        <f t="shared" ref="G495:H496" si="143">G496</f>
        <v>104851.1</v>
      </c>
      <c r="H495" s="31">
        <f t="shared" si="143"/>
        <v>117416.2</v>
      </c>
    </row>
    <row r="496" spans="1:8" s="196" customFormat="1" ht="12" x14ac:dyDescent="0.2">
      <c r="A496" s="35" t="s">
        <v>195</v>
      </c>
      <c r="B496" s="36" t="s">
        <v>206</v>
      </c>
      <c r="C496" s="36" t="s">
        <v>283</v>
      </c>
      <c r="D496" s="36" t="s">
        <v>648</v>
      </c>
      <c r="E496" s="36" t="s">
        <v>196</v>
      </c>
      <c r="F496" s="37">
        <f>F497</f>
        <v>104500</v>
      </c>
      <c r="G496" s="37">
        <f t="shared" si="143"/>
        <v>104851.1</v>
      </c>
      <c r="H496" s="37">
        <f t="shared" si="143"/>
        <v>117416.2</v>
      </c>
    </row>
    <row r="497" spans="1:8" s="196" customFormat="1" ht="12" x14ac:dyDescent="0.2">
      <c r="A497" s="35" t="s">
        <v>197</v>
      </c>
      <c r="B497" s="36" t="s">
        <v>206</v>
      </c>
      <c r="C497" s="36" t="s">
        <v>283</v>
      </c>
      <c r="D497" s="36" t="s">
        <v>648</v>
      </c>
      <c r="E497" s="36" t="s">
        <v>198</v>
      </c>
      <c r="F497" s="37">
        <v>104500</v>
      </c>
      <c r="G497" s="37">
        <f>110770-5918.9</f>
        <v>104851.1</v>
      </c>
      <c r="H497" s="37">
        <v>117416.2</v>
      </c>
    </row>
    <row r="498" spans="1:8" s="196" customFormat="1" ht="12" x14ac:dyDescent="0.2">
      <c r="A498" s="39" t="s">
        <v>551</v>
      </c>
      <c r="B498" s="40" t="s">
        <v>206</v>
      </c>
      <c r="C498" s="40" t="s">
        <v>283</v>
      </c>
      <c r="D498" s="40" t="s">
        <v>552</v>
      </c>
      <c r="E498" s="40"/>
      <c r="F498" s="41">
        <f>F499+F502</f>
        <v>17000</v>
      </c>
      <c r="G498" s="41">
        <f>G499+G502</f>
        <v>27700</v>
      </c>
      <c r="H498" s="41">
        <f>H499+H502</f>
        <v>37625</v>
      </c>
    </row>
    <row r="499" spans="1:8" s="196" customFormat="1" ht="12" x14ac:dyDescent="0.2">
      <c r="A499" s="50" t="s">
        <v>567</v>
      </c>
      <c r="B499" s="30" t="s">
        <v>206</v>
      </c>
      <c r="C499" s="30" t="s">
        <v>283</v>
      </c>
      <c r="D499" s="30" t="s">
        <v>568</v>
      </c>
      <c r="E499" s="30"/>
      <c r="F499" s="31">
        <f>F500</f>
        <v>16500</v>
      </c>
      <c r="G499" s="31">
        <f t="shared" ref="G499:H500" si="144">G500</f>
        <v>25500</v>
      </c>
      <c r="H499" s="31">
        <f t="shared" si="144"/>
        <v>35125</v>
      </c>
    </row>
    <row r="500" spans="1:8" s="196" customFormat="1" ht="12" x14ac:dyDescent="0.2">
      <c r="A500" s="35" t="s">
        <v>195</v>
      </c>
      <c r="B500" s="36" t="s">
        <v>206</v>
      </c>
      <c r="C500" s="36" t="s">
        <v>283</v>
      </c>
      <c r="D500" s="36" t="s">
        <v>568</v>
      </c>
      <c r="E500" s="36" t="s">
        <v>196</v>
      </c>
      <c r="F500" s="37">
        <f>F501</f>
        <v>16500</v>
      </c>
      <c r="G500" s="37">
        <f t="shared" si="144"/>
        <v>25500</v>
      </c>
      <c r="H500" s="37">
        <f t="shared" si="144"/>
        <v>35125</v>
      </c>
    </row>
    <row r="501" spans="1:8" s="196" customFormat="1" ht="12" x14ac:dyDescent="0.2">
      <c r="A501" s="35" t="s">
        <v>197</v>
      </c>
      <c r="B501" s="36" t="s">
        <v>206</v>
      </c>
      <c r="C501" s="36" t="s">
        <v>283</v>
      </c>
      <c r="D501" s="36" t="s">
        <v>568</v>
      </c>
      <c r="E501" s="36" t="s">
        <v>198</v>
      </c>
      <c r="F501" s="37">
        <f>11500+5000</f>
        <v>16500</v>
      </c>
      <c r="G501" s="37">
        <f>52500-20000-2000-5000</f>
        <v>25500</v>
      </c>
      <c r="H501" s="37">
        <f>55125-20000</f>
        <v>35125</v>
      </c>
    </row>
    <row r="502" spans="1:8" s="196" customFormat="1" ht="12" x14ac:dyDescent="0.2">
      <c r="A502" s="50" t="s">
        <v>555</v>
      </c>
      <c r="B502" s="30" t="s">
        <v>206</v>
      </c>
      <c r="C502" s="30" t="s">
        <v>283</v>
      </c>
      <c r="D502" s="30" t="s">
        <v>556</v>
      </c>
      <c r="E502" s="30"/>
      <c r="F502" s="31">
        <f>F503</f>
        <v>500</v>
      </c>
      <c r="G502" s="31">
        <f t="shared" ref="G502:H503" si="145">G503</f>
        <v>2200</v>
      </c>
      <c r="H502" s="31">
        <f t="shared" si="145"/>
        <v>2500</v>
      </c>
    </row>
    <row r="503" spans="1:8" s="196" customFormat="1" ht="12" x14ac:dyDescent="0.2">
      <c r="A503" s="35" t="s">
        <v>195</v>
      </c>
      <c r="B503" s="36" t="s">
        <v>206</v>
      </c>
      <c r="C503" s="36" t="s">
        <v>283</v>
      </c>
      <c r="D503" s="36" t="s">
        <v>556</v>
      </c>
      <c r="E503" s="36" t="s">
        <v>196</v>
      </c>
      <c r="F503" s="37">
        <f>F504</f>
        <v>500</v>
      </c>
      <c r="G503" s="37">
        <f t="shared" si="145"/>
        <v>2200</v>
      </c>
      <c r="H503" s="37">
        <f t="shared" si="145"/>
        <v>2500</v>
      </c>
    </row>
    <row r="504" spans="1:8" s="196" customFormat="1" ht="12" x14ac:dyDescent="0.2">
      <c r="A504" s="35" t="s">
        <v>197</v>
      </c>
      <c r="B504" s="36" t="s">
        <v>206</v>
      </c>
      <c r="C504" s="36" t="s">
        <v>283</v>
      </c>
      <c r="D504" s="36" t="s">
        <v>556</v>
      </c>
      <c r="E504" s="36" t="s">
        <v>198</v>
      </c>
      <c r="F504" s="37">
        <v>500</v>
      </c>
      <c r="G504" s="46">
        <v>2200</v>
      </c>
      <c r="H504" s="46">
        <v>2500</v>
      </c>
    </row>
    <row r="505" spans="1:8" s="196" customFormat="1" ht="24" x14ac:dyDescent="0.2">
      <c r="A505" s="39" t="s">
        <v>533</v>
      </c>
      <c r="B505" s="40" t="s">
        <v>206</v>
      </c>
      <c r="C505" s="40" t="s">
        <v>283</v>
      </c>
      <c r="D505" s="43" t="s">
        <v>534</v>
      </c>
      <c r="E505" s="40"/>
      <c r="F505" s="41">
        <f>F506+F509</f>
        <v>96853.434399999998</v>
      </c>
      <c r="G505" s="41">
        <f>G506+G509</f>
        <v>10000</v>
      </c>
      <c r="H505" s="47">
        <f>H506+H509</f>
        <v>0</v>
      </c>
    </row>
    <row r="506" spans="1:8" s="196" customFormat="1" ht="13.5" customHeight="1" x14ac:dyDescent="0.2">
      <c r="A506" s="29" t="s">
        <v>535</v>
      </c>
      <c r="B506" s="30" t="s">
        <v>206</v>
      </c>
      <c r="C506" s="30" t="s">
        <v>283</v>
      </c>
      <c r="D506" s="51" t="s">
        <v>536</v>
      </c>
      <c r="E506" s="30"/>
      <c r="F506" s="45">
        <f>F507</f>
        <v>86853.434399999998</v>
      </c>
      <c r="G506" s="45">
        <f t="shared" ref="G506:H507" si="146">G507</f>
        <v>0</v>
      </c>
      <c r="H506" s="45">
        <f t="shared" si="146"/>
        <v>0</v>
      </c>
    </row>
    <row r="507" spans="1:8" s="196" customFormat="1" ht="12" x14ac:dyDescent="0.2">
      <c r="A507" s="35" t="s">
        <v>195</v>
      </c>
      <c r="B507" s="36" t="s">
        <v>206</v>
      </c>
      <c r="C507" s="36" t="s">
        <v>283</v>
      </c>
      <c r="D507" s="44" t="s">
        <v>536</v>
      </c>
      <c r="E507" s="36" t="s">
        <v>196</v>
      </c>
      <c r="F507" s="46">
        <f>F508</f>
        <v>86853.434399999998</v>
      </c>
      <c r="G507" s="46">
        <f t="shared" si="146"/>
        <v>0</v>
      </c>
      <c r="H507" s="46">
        <f t="shared" si="146"/>
        <v>0</v>
      </c>
    </row>
    <row r="508" spans="1:8" s="196" customFormat="1" ht="12" x14ac:dyDescent="0.2">
      <c r="A508" s="35" t="s">
        <v>197</v>
      </c>
      <c r="B508" s="36" t="s">
        <v>206</v>
      </c>
      <c r="C508" s="36" t="s">
        <v>283</v>
      </c>
      <c r="D508" s="44" t="s">
        <v>536</v>
      </c>
      <c r="E508" s="36" t="s">
        <v>198</v>
      </c>
      <c r="F508" s="46">
        <v>86853.434399999998</v>
      </c>
      <c r="G508" s="46">
        <v>0</v>
      </c>
      <c r="H508" s="46">
        <v>0</v>
      </c>
    </row>
    <row r="509" spans="1:8" s="196" customFormat="1" ht="12" x14ac:dyDescent="0.2">
      <c r="A509" s="29" t="s">
        <v>537</v>
      </c>
      <c r="B509" s="30" t="s">
        <v>206</v>
      </c>
      <c r="C509" s="30" t="s">
        <v>283</v>
      </c>
      <c r="D509" s="51" t="s">
        <v>538</v>
      </c>
      <c r="E509" s="30"/>
      <c r="F509" s="31">
        <f>F510</f>
        <v>10000</v>
      </c>
      <c r="G509" s="31">
        <f t="shared" ref="G509:H510" si="147">G510</f>
        <v>10000</v>
      </c>
      <c r="H509" s="45">
        <f t="shared" si="147"/>
        <v>0</v>
      </c>
    </row>
    <row r="510" spans="1:8" s="196" customFormat="1" ht="12" x14ac:dyDescent="0.2">
      <c r="A510" s="35" t="s">
        <v>195</v>
      </c>
      <c r="B510" s="36" t="s">
        <v>206</v>
      </c>
      <c r="C510" s="36" t="s">
        <v>283</v>
      </c>
      <c r="D510" s="44" t="s">
        <v>538</v>
      </c>
      <c r="E510" s="36" t="s">
        <v>196</v>
      </c>
      <c r="F510" s="37">
        <f>F511</f>
        <v>10000</v>
      </c>
      <c r="G510" s="37">
        <f t="shared" si="147"/>
        <v>10000</v>
      </c>
      <c r="H510" s="46">
        <f t="shared" si="147"/>
        <v>0</v>
      </c>
    </row>
    <row r="511" spans="1:8" s="196" customFormat="1" ht="12" x14ac:dyDescent="0.2">
      <c r="A511" s="35" t="s">
        <v>197</v>
      </c>
      <c r="B511" s="36" t="s">
        <v>206</v>
      </c>
      <c r="C511" s="36" t="s">
        <v>283</v>
      </c>
      <c r="D511" s="44" t="s">
        <v>538</v>
      </c>
      <c r="E511" s="36" t="s">
        <v>198</v>
      </c>
      <c r="F511" s="37">
        <v>10000</v>
      </c>
      <c r="G511" s="37">
        <v>10000</v>
      </c>
      <c r="H511" s="46">
        <v>0</v>
      </c>
    </row>
    <row r="512" spans="1:8" s="196" customFormat="1" ht="12" x14ac:dyDescent="0.2">
      <c r="A512" s="39" t="s">
        <v>178</v>
      </c>
      <c r="B512" s="40" t="s">
        <v>206</v>
      </c>
      <c r="C512" s="40" t="s">
        <v>283</v>
      </c>
      <c r="D512" s="40" t="s">
        <v>189</v>
      </c>
      <c r="E512" s="40"/>
      <c r="F512" s="41">
        <f>F513</f>
        <v>19644.96</v>
      </c>
      <c r="G512" s="41">
        <f t="shared" ref="F512:H515" si="148">G513</f>
        <v>4000</v>
      </c>
      <c r="H512" s="41">
        <f t="shared" si="148"/>
        <v>6000</v>
      </c>
    </row>
    <row r="513" spans="1:8" s="196" customFormat="1" ht="12" x14ac:dyDescent="0.2">
      <c r="A513" s="29" t="s">
        <v>180</v>
      </c>
      <c r="B513" s="30" t="s">
        <v>206</v>
      </c>
      <c r="C513" s="30" t="s">
        <v>283</v>
      </c>
      <c r="D513" s="30" t="s">
        <v>190</v>
      </c>
      <c r="E513" s="30"/>
      <c r="F513" s="31">
        <f>F514+F517</f>
        <v>19644.96</v>
      </c>
      <c r="G513" s="31">
        <f>G514+G517</f>
        <v>4000</v>
      </c>
      <c r="H513" s="31">
        <f>H514+H517</f>
        <v>6000</v>
      </c>
    </row>
    <row r="514" spans="1:8" s="196" customFormat="1" ht="12" x14ac:dyDescent="0.2">
      <c r="A514" s="29" t="s">
        <v>369</v>
      </c>
      <c r="B514" s="30" t="s">
        <v>206</v>
      </c>
      <c r="C514" s="30" t="s">
        <v>283</v>
      </c>
      <c r="D514" s="51" t="s">
        <v>370</v>
      </c>
      <c r="E514" s="30"/>
      <c r="F514" s="31">
        <f>F515</f>
        <v>14044.96</v>
      </c>
      <c r="G514" s="31">
        <f t="shared" si="148"/>
        <v>4000</v>
      </c>
      <c r="H514" s="31">
        <f t="shared" si="148"/>
        <v>6000</v>
      </c>
    </row>
    <row r="515" spans="1:8" s="196" customFormat="1" ht="12" x14ac:dyDescent="0.2">
      <c r="A515" s="68" t="s">
        <v>195</v>
      </c>
      <c r="B515" s="36" t="s">
        <v>206</v>
      </c>
      <c r="C515" s="36" t="s">
        <v>283</v>
      </c>
      <c r="D515" s="44" t="s">
        <v>370</v>
      </c>
      <c r="E515" s="36" t="s">
        <v>196</v>
      </c>
      <c r="F515" s="37">
        <f t="shared" si="148"/>
        <v>14044.96</v>
      </c>
      <c r="G515" s="37">
        <f t="shared" si="148"/>
        <v>4000</v>
      </c>
      <c r="H515" s="37">
        <f t="shared" si="148"/>
        <v>6000</v>
      </c>
    </row>
    <row r="516" spans="1:8" s="196" customFormat="1" ht="12" x14ac:dyDescent="0.2">
      <c r="A516" s="68" t="s">
        <v>197</v>
      </c>
      <c r="B516" s="36" t="s">
        <v>206</v>
      </c>
      <c r="C516" s="36" t="s">
        <v>283</v>
      </c>
      <c r="D516" s="44" t="s">
        <v>370</v>
      </c>
      <c r="E516" s="36" t="s">
        <v>198</v>
      </c>
      <c r="F516" s="37">
        <f>8000+2000+2000+344.96+2200-500</f>
        <v>14044.96</v>
      </c>
      <c r="G516" s="37">
        <v>4000</v>
      </c>
      <c r="H516" s="37">
        <v>6000</v>
      </c>
    </row>
    <row r="517" spans="1:8" s="196" customFormat="1" ht="12" x14ac:dyDescent="0.2">
      <c r="A517" s="29" t="s">
        <v>211</v>
      </c>
      <c r="B517" s="30" t="s">
        <v>206</v>
      </c>
      <c r="C517" s="30" t="s">
        <v>283</v>
      </c>
      <c r="D517" s="30" t="s">
        <v>212</v>
      </c>
      <c r="E517" s="30"/>
      <c r="F517" s="45">
        <f t="shared" ref="F517:H518" si="149">F518</f>
        <v>5600</v>
      </c>
      <c r="G517" s="45">
        <f t="shared" si="149"/>
        <v>0</v>
      </c>
      <c r="H517" s="45">
        <f t="shared" si="149"/>
        <v>0</v>
      </c>
    </row>
    <row r="518" spans="1:8" s="196" customFormat="1" ht="12" x14ac:dyDescent="0.2">
      <c r="A518" s="35" t="s">
        <v>356</v>
      </c>
      <c r="B518" s="36" t="s">
        <v>206</v>
      </c>
      <c r="C518" s="36" t="s">
        <v>283</v>
      </c>
      <c r="D518" s="36" t="s">
        <v>212</v>
      </c>
      <c r="E518" s="36" t="s">
        <v>357</v>
      </c>
      <c r="F518" s="46">
        <f t="shared" si="149"/>
        <v>5600</v>
      </c>
      <c r="G518" s="46">
        <f t="shared" si="149"/>
        <v>0</v>
      </c>
      <c r="H518" s="46">
        <f t="shared" si="149"/>
        <v>0</v>
      </c>
    </row>
    <row r="519" spans="1:8" s="196" customFormat="1" ht="12" x14ac:dyDescent="0.2">
      <c r="A519" s="35" t="s">
        <v>358</v>
      </c>
      <c r="B519" s="36" t="s">
        <v>206</v>
      </c>
      <c r="C519" s="36" t="s">
        <v>283</v>
      </c>
      <c r="D519" s="36" t="s">
        <v>212</v>
      </c>
      <c r="E519" s="36" t="s">
        <v>359</v>
      </c>
      <c r="F519" s="46">
        <v>5600</v>
      </c>
      <c r="G519" s="46">
        <v>0</v>
      </c>
      <c r="H519" s="46">
        <v>0</v>
      </c>
    </row>
    <row r="520" spans="1:8" s="196" customFormat="1" ht="12" x14ac:dyDescent="0.2">
      <c r="A520" s="29" t="s">
        <v>539</v>
      </c>
      <c r="B520" s="30" t="s">
        <v>206</v>
      </c>
      <c r="C520" s="30" t="s">
        <v>206</v>
      </c>
      <c r="D520" s="30"/>
      <c r="E520" s="30"/>
      <c r="F520" s="31">
        <f>F521+F531+F550</f>
        <v>64050.286319999999</v>
      </c>
      <c r="G520" s="31">
        <f>G521+G531+G550</f>
        <v>52746.3</v>
      </c>
      <c r="H520" s="31">
        <f>H521+H531+H550</f>
        <v>52746.3</v>
      </c>
    </row>
    <row r="521" spans="1:8" s="196" customFormat="1" ht="12" x14ac:dyDescent="0.2">
      <c r="A521" s="39" t="s">
        <v>516</v>
      </c>
      <c r="B521" s="40" t="s">
        <v>206</v>
      </c>
      <c r="C521" s="40" t="s">
        <v>206</v>
      </c>
      <c r="D521" s="40" t="s">
        <v>511</v>
      </c>
      <c r="E521" s="40"/>
      <c r="F521" s="41">
        <f>F522</f>
        <v>13343.886</v>
      </c>
      <c r="G521" s="41">
        <f t="shared" ref="G521:H521" si="150">G522</f>
        <v>11503.6</v>
      </c>
      <c r="H521" s="41">
        <f t="shared" si="150"/>
        <v>11503.6</v>
      </c>
    </row>
    <row r="522" spans="1:8" s="196" customFormat="1" ht="12" x14ac:dyDescent="0.2">
      <c r="A522" s="39" t="s">
        <v>540</v>
      </c>
      <c r="B522" s="40" t="s">
        <v>206</v>
      </c>
      <c r="C522" s="40" t="s">
        <v>206</v>
      </c>
      <c r="D522" s="40" t="s">
        <v>511</v>
      </c>
      <c r="E522" s="40"/>
      <c r="F522" s="41">
        <f>F523+F526</f>
        <v>13343.886</v>
      </c>
      <c r="G522" s="41">
        <f>G523+G526</f>
        <v>11503.6</v>
      </c>
      <c r="H522" s="41">
        <f>H523+H526</f>
        <v>11503.6</v>
      </c>
    </row>
    <row r="523" spans="1:8" s="196" customFormat="1" ht="12" x14ac:dyDescent="0.2">
      <c r="A523" s="29" t="s">
        <v>492</v>
      </c>
      <c r="B523" s="30" t="s">
        <v>206</v>
      </c>
      <c r="C523" s="30" t="s">
        <v>206</v>
      </c>
      <c r="D523" s="30" t="s">
        <v>541</v>
      </c>
      <c r="E523" s="30"/>
      <c r="F523" s="31">
        <f>F524</f>
        <v>12809.705</v>
      </c>
      <c r="G523" s="31">
        <f t="shared" ref="G523:H524" si="151">G524</f>
        <v>11026.6</v>
      </c>
      <c r="H523" s="31">
        <f t="shared" si="151"/>
        <v>11026.6</v>
      </c>
    </row>
    <row r="524" spans="1:8" s="196" customFormat="1" ht="24" x14ac:dyDescent="0.2">
      <c r="A524" s="35" t="s">
        <v>185</v>
      </c>
      <c r="B524" s="36" t="s">
        <v>206</v>
      </c>
      <c r="C524" s="36" t="s">
        <v>206</v>
      </c>
      <c r="D524" s="36" t="s">
        <v>541</v>
      </c>
      <c r="E524" s="36" t="s">
        <v>186</v>
      </c>
      <c r="F524" s="37">
        <f>F525</f>
        <v>12809.705</v>
      </c>
      <c r="G524" s="37">
        <f t="shared" si="151"/>
        <v>11026.6</v>
      </c>
      <c r="H524" s="37">
        <f t="shared" si="151"/>
        <v>11026.6</v>
      </c>
    </row>
    <row r="525" spans="1:8" s="196" customFormat="1" ht="12" x14ac:dyDescent="0.2">
      <c r="A525" s="35" t="s">
        <v>187</v>
      </c>
      <c r="B525" s="36" t="s">
        <v>206</v>
      </c>
      <c r="C525" s="36" t="s">
        <v>206</v>
      </c>
      <c r="D525" s="36" t="s">
        <v>541</v>
      </c>
      <c r="E525" s="36" t="s">
        <v>188</v>
      </c>
      <c r="F525" s="37">
        <f>8459+10+2557.6+1783.105</f>
        <v>12809.705</v>
      </c>
      <c r="G525" s="37">
        <f t="shared" ref="G525:H525" si="152">8459+10+2557.6</f>
        <v>11026.6</v>
      </c>
      <c r="H525" s="37">
        <f t="shared" si="152"/>
        <v>11026.6</v>
      </c>
    </row>
    <row r="526" spans="1:8" s="196" customFormat="1" ht="12" x14ac:dyDescent="0.2">
      <c r="A526" s="29" t="s">
        <v>193</v>
      </c>
      <c r="B526" s="30" t="s">
        <v>206</v>
      </c>
      <c r="C526" s="30" t="s">
        <v>206</v>
      </c>
      <c r="D526" s="30" t="s">
        <v>542</v>
      </c>
      <c r="E526" s="30"/>
      <c r="F526" s="31">
        <f>F527+F529</f>
        <v>534.18100000000004</v>
      </c>
      <c r="G526" s="31">
        <f>G527+G529</f>
        <v>477</v>
      </c>
      <c r="H526" s="31">
        <f>H527+H529</f>
        <v>477</v>
      </c>
    </row>
    <row r="527" spans="1:8" s="196" customFormat="1" ht="12" x14ac:dyDescent="0.2">
      <c r="A527" s="35" t="s">
        <v>195</v>
      </c>
      <c r="B527" s="36" t="s">
        <v>206</v>
      </c>
      <c r="C527" s="36" t="s">
        <v>206</v>
      </c>
      <c r="D527" s="36" t="s">
        <v>542</v>
      </c>
      <c r="E527" s="36" t="s">
        <v>196</v>
      </c>
      <c r="F527" s="37">
        <f>F528</f>
        <v>531.18100000000004</v>
      </c>
      <c r="G527" s="37">
        <f t="shared" ref="G527:H527" si="153">G528</f>
        <v>474</v>
      </c>
      <c r="H527" s="37">
        <f t="shared" si="153"/>
        <v>474</v>
      </c>
    </row>
    <row r="528" spans="1:8" s="196" customFormat="1" ht="12" x14ac:dyDescent="0.2">
      <c r="A528" s="35" t="s">
        <v>197</v>
      </c>
      <c r="B528" s="36" t="s">
        <v>206</v>
      </c>
      <c r="C528" s="36" t="s">
        <v>206</v>
      </c>
      <c r="D528" s="36" t="s">
        <v>542</v>
      </c>
      <c r="E528" s="36" t="s">
        <v>198</v>
      </c>
      <c r="F528" s="37">
        <f>474+57.181</f>
        <v>531.18100000000004</v>
      </c>
      <c r="G528" s="37">
        <v>474</v>
      </c>
      <c r="H528" s="37">
        <v>474</v>
      </c>
    </row>
    <row r="529" spans="1:8" s="196" customFormat="1" ht="12" x14ac:dyDescent="0.2">
      <c r="A529" s="35" t="s">
        <v>199</v>
      </c>
      <c r="B529" s="36" t="s">
        <v>206</v>
      </c>
      <c r="C529" s="36" t="s">
        <v>206</v>
      </c>
      <c r="D529" s="36" t="s">
        <v>542</v>
      </c>
      <c r="E529" s="36" t="s">
        <v>200</v>
      </c>
      <c r="F529" s="37">
        <f>F530</f>
        <v>3</v>
      </c>
      <c r="G529" s="37">
        <f t="shared" ref="G529:H529" si="154">G530</f>
        <v>3</v>
      </c>
      <c r="H529" s="37">
        <f t="shared" si="154"/>
        <v>3</v>
      </c>
    </row>
    <row r="530" spans="1:8" s="196" customFormat="1" ht="12" x14ac:dyDescent="0.2">
      <c r="A530" s="35" t="s">
        <v>201</v>
      </c>
      <c r="B530" s="36" t="s">
        <v>206</v>
      </c>
      <c r="C530" s="36" t="s">
        <v>206</v>
      </c>
      <c r="D530" s="36" t="s">
        <v>542</v>
      </c>
      <c r="E530" s="36" t="s">
        <v>202</v>
      </c>
      <c r="F530" s="37">
        <v>3</v>
      </c>
      <c r="G530" s="37">
        <v>3</v>
      </c>
      <c r="H530" s="37">
        <v>3</v>
      </c>
    </row>
    <row r="531" spans="1:8" s="196" customFormat="1" ht="24" x14ac:dyDescent="0.2">
      <c r="A531" s="39" t="s">
        <v>586</v>
      </c>
      <c r="B531" s="40" t="s">
        <v>206</v>
      </c>
      <c r="C531" s="40" t="s">
        <v>206</v>
      </c>
      <c r="D531" s="40" t="s">
        <v>587</v>
      </c>
      <c r="E531" s="40"/>
      <c r="F531" s="41">
        <f>F532</f>
        <v>38897.436000000002</v>
      </c>
      <c r="G531" s="41">
        <f t="shared" ref="G531:H531" si="155">G532</f>
        <v>32908.5</v>
      </c>
      <c r="H531" s="41">
        <f t="shared" si="155"/>
        <v>32908.5</v>
      </c>
    </row>
    <row r="532" spans="1:8" s="196" customFormat="1" ht="12" x14ac:dyDescent="0.2">
      <c r="A532" s="29" t="s">
        <v>637</v>
      </c>
      <c r="B532" s="30" t="s">
        <v>206</v>
      </c>
      <c r="C532" s="30" t="s">
        <v>206</v>
      </c>
      <c r="D532" s="30" t="s">
        <v>590</v>
      </c>
      <c r="E532" s="36"/>
      <c r="F532" s="31">
        <f>F533+F542</f>
        <v>38897.436000000002</v>
      </c>
      <c r="G532" s="31">
        <f>G533+G542</f>
        <v>32908.5</v>
      </c>
      <c r="H532" s="31">
        <f>H533+H542</f>
        <v>32908.5</v>
      </c>
    </row>
    <row r="533" spans="1:8" s="196" customFormat="1" ht="15" customHeight="1" x14ac:dyDescent="0.2">
      <c r="A533" s="29" t="s">
        <v>649</v>
      </c>
      <c r="B533" s="30" t="s">
        <v>206</v>
      </c>
      <c r="C533" s="30" t="s">
        <v>206</v>
      </c>
      <c r="D533" s="30" t="s">
        <v>590</v>
      </c>
      <c r="E533" s="36"/>
      <c r="F533" s="31">
        <f>F534+F537</f>
        <v>24072.493999999999</v>
      </c>
      <c r="G533" s="31">
        <f>G534+G537</f>
        <v>20932.099999999999</v>
      </c>
      <c r="H533" s="31">
        <f>H534+H537</f>
        <v>20932.099999999999</v>
      </c>
    </row>
    <row r="534" spans="1:8" s="196" customFormat="1" ht="12" x14ac:dyDescent="0.2">
      <c r="A534" s="29" t="s">
        <v>492</v>
      </c>
      <c r="B534" s="30" t="s">
        <v>206</v>
      </c>
      <c r="C534" s="30" t="s">
        <v>206</v>
      </c>
      <c r="D534" s="30" t="s">
        <v>650</v>
      </c>
      <c r="E534" s="30"/>
      <c r="F534" s="31">
        <f>F535</f>
        <v>22342.493999999999</v>
      </c>
      <c r="G534" s="31">
        <f t="shared" ref="G534:H535" si="156">G535</f>
        <v>19202.099999999999</v>
      </c>
      <c r="H534" s="31">
        <f t="shared" si="156"/>
        <v>19202.099999999999</v>
      </c>
    </row>
    <row r="535" spans="1:8" s="196" customFormat="1" ht="24" x14ac:dyDescent="0.2">
      <c r="A535" s="35" t="s">
        <v>185</v>
      </c>
      <c r="B535" s="36" t="s">
        <v>206</v>
      </c>
      <c r="C535" s="36" t="s">
        <v>206</v>
      </c>
      <c r="D535" s="36" t="s">
        <v>650</v>
      </c>
      <c r="E535" s="36" t="s">
        <v>186</v>
      </c>
      <c r="F535" s="37">
        <f>F536</f>
        <v>22342.493999999999</v>
      </c>
      <c r="G535" s="37">
        <f t="shared" si="156"/>
        <v>19202.099999999999</v>
      </c>
      <c r="H535" s="37">
        <f t="shared" si="156"/>
        <v>19202.099999999999</v>
      </c>
    </row>
    <row r="536" spans="1:8" s="196" customFormat="1" ht="12" x14ac:dyDescent="0.2">
      <c r="A536" s="35" t="s">
        <v>187</v>
      </c>
      <c r="B536" s="36" t="s">
        <v>206</v>
      </c>
      <c r="C536" s="36" t="s">
        <v>206</v>
      </c>
      <c r="D536" s="36" t="s">
        <v>650</v>
      </c>
      <c r="E536" s="36" t="s">
        <v>188</v>
      </c>
      <c r="F536" s="37">
        <f>19202.1+3140.394</f>
        <v>22342.493999999999</v>
      </c>
      <c r="G536" s="37">
        <v>19202.099999999999</v>
      </c>
      <c r="H536" s="37">
        <v>19202.099999999999</v>
      </c>
    </row>
    <row r="537" spans="1:8" s="196" customFormat="1" ht="12" x14ac:dyDescent="0.2">
      <c r="A537" s="29" t="s">
        <v>193</v>
      </c>
      <c r="B537" s="30" t="s">
        <v>206</v>
      </c>
      <c r="C537" s="30" t="s">
        <v>206</v>
      </c>
      <c r="D537" s="30" t="s">
        <v>651</v>
      </c>
      <c r="E537" s="30"/>
      <c r="F537" s="31">
        <f>F538+F540</f>
        <v>1730</v>
      </c>
      <c r="G537" s="31">
        <f>G538+G540</f>
        <v>1730</v>
      </c>
      <c r="H537" s="31">
        <f>H538+H540</f>
        <v>1730</v>
      </c>
    </row>
    <row r="538" spans="1:8" s="196" customFormat="1" ht="12" x14ac:dyDescent="0.2">
      <c r="A538" s="35" t="s">
        <v>195</v>
      </c>
      <c r="B538" s="36" t="s">
        <v>206</v>
      </c>
      <c r="C538" s="36" t="s">
        <v>206</v>
      </c>
      <c r="D538" s="36" t="s">
        <v>651</v>
      </c>
      <c r="E538" s="36" t="s">
        <v>196</v>
      </c>
      <c r="F538" s="37">
        <f>F539</f>
        <v>1700</v>
      </c>
      <c r="G538" s="37">
        <f t="shared" ref="G538:H538" si="157">G539</f>
        <v>1700</v>
      </c>
      <c r="H538" s="37">
        <f t="shared" si="157"/>
        <v>1700</v>
      </c>
    </row>
    <row r="539" spans="1:8" s="196" customFormat="1" ht="12" x14ac:dyDescent="0.2">
      <c r="A539" s="35" t="s">
        <v>197</v>
      </c>
      <c r="B539" s="36" t="s">
        <v>206</v>
      </c>
      <c r="C539" s="36" t="s">
        <v>206</v>
      </c>
      <c r="D539" s="36" t="s">
        <v>651</v>
      </c>
      <c r="E539" s="36" t="s">
        <v>198</v>
      </c>
      <c r="F539" s="37">
        <v>1700</v>
      </c>
      <c r="G539" s="37">
        <v>1700</v>
      </c>
      <c r="H539" s="37">
        <v>1700</v>
      </c>
    </row>
    <row r="540" spans="1:8" s="196" customFormat="1" ht="12" x14ac:dyDescent="0.2">
      <c r="A540" s="35" t="s">
        <v>199</v>
      </c>
      <c r="B540" s="36" t="s">
        <v>206</v>
      </c>
      <c r="C540" s="36" t="s">
        <v>206</v>
      </c>
      <c r="D540" s="36" t="s">
        <v>651</v>
      </c>
      <c r="E540" s="36" t="s">
        <v>200</v>
      </c>
      <c r="F540" s="37">
        <f>F541</f>
        <v>30</v>
      </c>
      <c r="G540" s="37">
        <f t="shared" ref="G540:H540" si="158">G541</f>
        <v>30</v>
      </c>
      <c r="H540" s="37">
        <f t="shared" si="158"/>
        <v>30</v>
      </c>
    </row>
    <row r="541" spans="1:8" s="196" customFormat="1" ht="12" x14ac:dyDescent="0.2">
      <c r="A541" s="35" t="s">
        <v>201</v>
      </c>
      <c r="B541" s="36" t="s">
        <v>206</v>
      </c>
      <c r="C541" s="36" t="s">
        <v>206</v>
      </c>
      <c r="D541" s="36" t="s">
        <v>651</v>
      </c>
      <c r="E541" s="36" t="s">
        <v>202</v>
      </c>
      <c r="F541" s="37">
        <v>30</v>
      </c>
      <c r="G541" s="37">
        <v>30</v>
      </c>
      <c r="H541" s="37">
        <v>30</v>
      </c>
    </row>
    <row r="542" spans="1:8" s="196" customFormat="1" ht="12" x14ac:dyDescent="0.2">
      <c r="A542" s="50" t="s">
        <v>652</v>
      </c>
      <c r="B542" s="30" t="s">
        <v>206</v>
      </c>
      <c r="C542" s="30" t="s">
        <v>206</v>
      </c>
      <c r="D542" s="51" t="s">
        <v>653</v>
      </c>
      <c r="E542" s="30"/>
      <c r="F542" s="31">
        <f>F543</f>
        <v>14824.942000000001</v>
      </c>
      <c r="G542" s="31">
        <f t="shared" ref="G542:H542" si="159">G543</f>
        <v>11976.4</v>
      </c>
      <c r="H542" s="31">
        <f t="shared" si="159"/>
        <v>11976.4</v>
      </c>
    </row>
    <row r="543" spans="1:8" s="196" customFormat="1" ht="12" x14ac:dyDescent="0.2">
      <c r="A543" s="52" t="s">
        <v>263</v>
      </c>
      <c r="B543" s="49" t="s">
        <v>206</v>
      </c>
      <c r="C543" s="49" t="s">
        <v>206</v>
      </c>
      <c r="D543" s="49" t="s">
        <v>653</v>
      </c>
      <c r="E543" s="49"/>
      <c r="F543" s="53">
        <f>F544+F546+F548</f>
        <v>14824.942000000001</v>
      </c>
      <c r="G543" s="53">
        <f>G544+G546+G548</f>
        <v>11976.4</v>
      </c>
      <c r="H543" s="53">
        <f>H544+H546+H548</f>
        <v>11976.4</v>
      </c>
    </row>
    <row r="544" spans="1:8" s="196" customFormat="1" ht="24" x14ac:dyDescent="0.2">
      <c r="A544" s="35" t="s">
        <v>185</v>
      </c>
      <c r="B544" s="36" t="s">
        <v>206</v>
      </c>
      <c r="C544" s="36" t="s">
        <v>206</v>
      </c>
      <c r="D544" s="36" t="s">
        <v>653</v>
      </c>
      <c r="E544" s="36" t="s">
        <v>186</v>
      </c>
      <c r="F544" s="37">
        <f>F545</f>
        <v>12511.542000000001</v>
      </c>
      <c r="G544" s="37">
        <f t="shared" ref="G544:H544" si="160">G545</f>
        <v>10413</v>
      </c>
      <c r="H544" s="37">
        <f t="shared" si="160"/>
        <v>10413</v>
      </c>
    </row>
    <row r="545" spans="1:8" s="196" customFormat="1" ht="12" x14ac:dyDescent="0.2">
      <c r="A545" s="35" t="s">
        <v>266</v>
      </c>
      <c r="B545" s="36" t="s">
        <v>206</v>
      </c>
      <c r="C545" s="36" t="s">
        <v>206</v>
      </c>
      <c r="D545" s="36" t="s">
        <v>653</v>
      </c>
      <c r="E545" s="36" t="s">
        <v>267</v>
      </c>
      <c r="F545" s="37">
        <f>10413+430.058+1668.484</f>
        <v>12511.542000000001</v>
      </c>
      <c r="G545" s="37">
        <v>10413</v>
      </c>
      <c r="H545" s="37">
        <v>10413</v>
      </c>
    </row>
    <row r="546" spans="1:8" s="196" customFormat="1" ht="12" x14ac:dyDescent="0.2">
      <c r="A546" s="35" t="s">
        <v>195</v>
      </c>
      <c r="B546" s="36" t="s">
        <v>206</v>
      </c>
      <c r="C546" s="36" t="s">
        <v>206</v>
      </c>
      <c r="D546" s="36" t="s">
        <v>653</v>
      </c>
      <c r="E546" s="36" t="s">
        <v>196</v>
      </c>
      <c r="F546" s="37">
        <f>F547</f>
        <v>678.4</v>
      </c>
      <c r="G546" s="37">
        <f t="shared" ref="G546:H546" si="161">G547</f>
        <v>678.4</v>
      </c>
      <c r="H546" s="37">
        <f t="shared" si="161"/>
        <v>678.4</v>
      </c>
    </row>
    <row r="547" spans="1:8" s="196" customFormat="1" ht="12" x14ac:dyDescent="0.2">
      <c r="A547" s="35" t="s">
        <v>197</v>
      </c>
      <c r="B547" s="36" t="s">
        <v>206</v>
      </c>
      <c r="C547" s="36" t="s">
        <v>206</v>
      </c>
      <c r="D547" s="36" t="s">
        <v>653</v>
      </c>
      <c r="E547" s="36" t="s">
        <v>198</v>
      </c>
      <c r="F547" s="37">
        <v>678.4</v>
      </c>
      <c r="G547" s="37">
        <v>678.4</v>
      </c>
      <c r="H547" s="37">
        <v>678.4</v>
      </c>
    </row>
    <row r="548" spans="1:8" s="196" customFormat="1" ht="12" x14ac:dyDescent="0.2">
      <c r="A548" s="35" t="s">
        <v>199</v>
      </c>
      <c r="B548" s="36" t="s">
        <v>206</v>
      </c>
      <c r="C548" s="36" t="s">
        <v>206</v>
      </c>
      <c r="D548" s="36" t="s">
        <v>653</v>
      </c>
      <c r="E548" s="36" t="s">
        <v>200</v>
      </c>
      <c r="F548" s="37">
        <f>F549</f>
        <v>1635</v>
      </c>
      <c r="G548" s="37">
        <f t="shared" ref="G548:H548" si="162">G549</f>
        <v>885</v>
      </c>
      <c r="H548" s="37">
        <f t="shared" si="162"/>
        <v>885</v>
      </c>
    </row>
    <row r="549" spans="1:8" s="196" customFormat="1" ht="12" x14ac:dyDescent="0.2">
      <c r="A549" s="35" t="s">
        <v>201</v>
      </c>
      <c r="B549" s="36" t="s">
        <v>206</v>
      </c>
      <c r="C549" s="36" t="s">
        <v>206</v>
      </c>
      <c r="D549" s="36" t="s">
        <v>653</v>
      </c>
      <c r="E549" s="36" t="s">
        <v>202</v>
      </c>
      <c r="F549" s="37">
        <f>885+750</f>
        <v>1635</v>
      </c>
      <c r="G549" s="37">
        <v>885</v>
      </c>
      <c r="H549" s="37">
        <v>885</v>
      </c>
    </row>
    <row r="550" spans="1:8" s="196" customFormat="1" ht="12" x14ac:dyDescent="0.2">
      <c r="A550" s="39" t="s">
        <v>178</v>
      </c>
      <c r="B550" s="40" t="s">
        <v>206</v>
      </c>
      <c r="C550" s="40" t="s">
        <v>206</v>
      </c>
      <c r="D550" s="40" t="s">
        <v>189</v>
      </c>
      <c r="E550" s="40"/>
      <c r="F550" s="41">
        <f>F551</f>
        <v>11808.964320000001</v>
      </c>
      <c r="G550" s="41">
        <f t="shared" ref="G550:H550" si="163">G551</f>
        <v>8334.2000000000007</v>
      </c>
      <c r="H550" s="41">
        <f t="shared" si="163"/>
        <v>8334.2000000000007</v>
      </c>
    </row>
    <row r="551" spans="1:8" s="196" customFormat="1" ht="12" x14ac:dyDescent="0.2">
      <c r="A551" s="29" t="s">
        <v>180</v>
      </c>
      <c r="B551" s="30" t="s">
        <v>206</v>
      </c>
      <c r="C551" s="30" t="s">
        <v>206</v>
      </c>
      <c r="D551" s="30" t="s">
        <v>190</v>
      </c>
      <c r="E551" s="36"/>
      <c r="F551" s="31">
        <f>F552+F555+F560</f>
        <v>11808.964320000001</v>
      </c>
      <c r="G551" s="31">
        <f>G552+G555+G560</f>
        <v>8334.2000000000007</v>
      </c>
      <c r="H551" s="31">
        <f>H552+H555+H560</f>
        <v>8334.2000000000007</v>
      </c>
    </row>
    <row r="552" spans="1:8" s="196" customFormat="1" ht="12" x14ac:dyDescent="0.2">
      <c r="A552" s="29" t="s">
        <v>492</v>
      </c>
      <c r="B552" s="30" t="s">
        <v>206</v>
      </c>
      <c r="C552" s="30" t="s">
        <v>206</v>
      </c>
      <c r="D552" s="30" t="s">
        <v>192</v>
      </c>
      <c r="E552" s="30"/>
      <c r="F552" s="31">
        <f>F553</f>
        <v>9587.6980000000003</v>
      </c>
      <c r="G552" s="31">
        <f t="shared" ref="G552:H553" si="164">G553</f>
        <v>7404.2</v>
      </c>
      <c r="H552" s="31">
        <f t="shared" si="164"/>
        <v>7404.2</v>
      </c>
    </row>
    <row r="553" spans="1:8" s="196" customFormat="1" ht="24" x14ac:dyDescent="0.2">
      <c r="A553" s="35" t="s">
        <v>185</v>
      </c>
      <c r="B553" s="36" t="s">
        <v>206</v>
      </c>
      <c r="C553" s="36" t="s">
        <v>206</v>
      </c>
      <c r="D553" s="36" t="s">
        <v>192</v>
      </c>
      <c r="E553" s="36" t="s">
        <v>186</v>
      </c>
      <c r="F553" s="37">
        <f>F554</f>
        <v>9587.6980000000003</v>
      </c>
      <c r="G553" s="37">
        <f t="shared" si="164"/>
        <v>7404.2</v>
      </c>
      <c r="H553" s="37">
        <f t="shared" si="164"/>
        <v>7404.2</v>
      </c>
    </row>
    <row r="554" spans="1:8" s="196" customFormat="1" ht="12" x14ac:dyDescent="0.2">
      <c r="A554" s="35" t="s">
        <v>187</v>
      </c>
      <c r="B554" s="36" t="s">
        <v>206</v>
      </c>
      <c r="C554" s="36" t="s">
        <v>206</v>
      </c>
      <c r="D554" s="36" t="s">
        <v>192</v>
      </c>
      <c r="E554" s="36" t="s">
        <v>188</v>
      </c>
      <c r="F554" s="37">
        <f>5560+50+1694.2+50+50+2183.498</f>
        <v>9587.6980000000003</v>
      </c>
      <c r="G554" s="37">
        <f t="shared" ref="G554:H554" si="165">5560+50+1694.2+50+50</f>
        <v>7404.2</v>
      </c>
      <c r="H554" s="37">
        <f t="shared" si="165"/>
        <v>7404.2</v>
      </c>
    </row>
    <row r="555" spans="1:8" s="196" customFormat="1" ht="12" x14ac:dyDescent="0.2">
      <c r="A555" s="29" t="s">
        <v>193</v>
      </c>
      <c r="B555" s="30" t="s">
        <v>206</v>
      </c>
      <c r="C555" s="30" t="s">
        <v>206</v>
      </c>
      <c r="D555" s="30" t="s">
        <v>194</v>
      </c>
      <c r="E555" s="30"/>
      <c r="F555" s="31">
        <f>F556+F558</f>
        <v>680</v>
      </c>
      <c r="G555" s="31">
        <f>G556+G558</f>
        <v>930</v>
      </c>
      <c r="H555" s="31">
        <f>H556+H558</f>
        <v>930</v>
      </c>
    </row>
    <row r="556" spans="1:8" s="196" customFormat="1" ht="12" x14ac:dyDescent="0.2">
      <c r="A556" s="35" t="s">
        <v>195</v>
      </c>
      <c r="B556" s="36" t="s">
        <v>206</v>
      </c>
      <c r="C556" s="36" t="s">
        <v>206</v>
      </c>
      <c r="D556" s="36" t="s">
        <v>194</v>
      </c>
      <c r="E556" s="36" t="s">
        <v>196</v>
      </c>
      <c r="F556" s="37">
        <f>F557</f>
        <v>470</v>
      </c>
      <c r="G556" s="37">
        <f t="shared" ref="G556:H556" si="166">G557</f>
        <v>770</v>
      </c>
      <c r="H556" s="37">
        <f t="shared" si="166"/>
        <v>770</v>
      </c>
    </row>
    <row r="557" spans="1:8" s="196" customFormat="1" ht="12" x14ac:dyDescent="0.2">
      <c r="A557" s="35" t="s">
        <v>197</v>
      </c>
      <c r="B557" s="36" t="s">
        <v>206</v>
      </c>
      <c r="C557" s="36" t="s">
        <v>206</v>
      </c>
      <c r="D557" s="36" t="s">
        <v>194</v>
      </c>
      <c r="E557" s="36" t="s">
        <v>198</v>
      </c>
      <c r="F557" s="37">
        <v>470</v>
      </c>
      <c r="G557" s="37">
        <v>770</v>
      </c>
      <c r="H557" s="37">
        <v>770</v>
      </c>
    </row>
    <row r="558" spans="1:8" s="196" customFormat="1" ht="12" x14ac:dyDescent="0.2">
      <c r="A558" s="35" t="s">
        <v>199</v>
      </c>
      <c r="B558" s="36" t="s">
        <v>206</v>
      </c>
      <c r="C558" s="36" t="s">
        <v>206</v>
      </c>
      <c r="D558" s="36" t="s">
        <v>194</v>
      </c>
      <c r="E558" s="36" t="s">
        <v>200</v>
      </c>
      <c r="F558" s="37">
        <f>F559</f>
        <v>210</v>
      </c>
      <c r="G558" s="37">
        <f t="shared" ref="G558:H558" si="167">G559</f>
        <v>160</v>
      </c>
      <c r="H558" s="37">
        <f t="shared" si="167"/>
        <v>160</v>
      </c>
    </row>
    <row r="559" spans="1:8" s="196" customFormat="1" ht="12" x14ac:dyDescent="0.2">
      <c r="A559" s="35" t="s">
        <v>201</v>
      </c>
      <c r="B559" s="36" t="s">
        <v>206</v>
      </c>
      <c r="C559" s="36" t="s">
        <v>206</v>
      </c>
      <c r="D559" s="36" t="s">
        <v>194</v>
      </c>
      <c r="E559" s="36" t="s">
        <v>202</v>
      </c>
      <c r="F559" s="37">
        <f>110+100</f>
        <v>210</v>
      </c>
      <c r="G559" s="37">
        <v>160</v>
      </c>
      <c r="H559" s="37">
        <v>160</v>
      </c>
    </row>
    <row r="560" spans="1:8" s="196" customFormat="1" ht="12" x14ac:dyDescent="0.2">
      <c r="A560" s="75" t="s">
        <v>203</v>
      </c>
      <c r="B560" s="74" t="s">
        <v>206</v>
      </c>
      <c r="C560" s="74" t="s">
        <v>206</v>
      </c>
      <c r="D560" s="74" t="s">
        <v>204</v>
      </c>
      <c r="E560" s="74"/>
      <c r="F560" s="127">
        <f t="shared" ref="F560:G561" si="168">F561</f>
        <v>1541.2663200000002</v>
      </c>
      <c r="G560" s="248">
        <f t="shared" si="168"/>
        <v>0</v>
      </c>
      <c r="H560" s="37"/>
    </row>
    <row r="561" spans="1:8" s="196" customFormat="1" ht="24" x14ac:dyDescent="0.2">
      <c r="A561" s="73" t="s">
        <v>185</v>
      </c>
      <c r="B561" s="12" t="s">
        <v>206</v>
      </c>
      <c r="C561" s="12" t="s">
        <v>206</v>
      </c>
      <c r="D561" s="12" t="s">
        <v>204</v>
      </c>
      <c r="E561" s="12" t="s">
        <v>186</v>
      </c>
      <c r="F561" s="115">
        <f t="shared" si="168"/>
        <v>1541.2663200000002</v>
      </c>
      <c r="G561" s="249">
        <f t="shared" si="168"/>
        <v>0</v>
      </c>
      <c r="H561" s="37"/>
    </row>
    <row r="562" spans="1:8" s="196" customFormat="1" ht="12" x14ac:dyDescent="0.2">
      <c r="A562" s="73" t="s">
        <v>187</v>
      </c>
      <c r="B562" s="12" t="s">
        <v>206</v>
      </c>
      <c r="C562" s="12" t="s">
        <v>206</v>
      </c>
      <c r="D562" s="12" t="s">
        <v>204</v>
      </c>
      <c r="E562" s="12" t="s">
        <v>188</v>
      </c>
      <c r="F562" s="115">
        <f>467.88443+302.74875+770.63314</f>
        <v>1541.2663200000002</v>
      </c>
      <c r="G562" s="249">
        <v>0</v>
      </c>
      <c r="H562" s="37"/>
    </row>
    <row r="563" spans="1:8" s="196" customFormat="1" ht="12" x14ac:dyDescent="0.2">
      <c r="A563" s="57" t="s">
        <v>374</v>
      </c>
      <c r="B563" s="30" t="s">
        <v>375</v>
      </c>
      <c r="C563" s="30" t="s">
        <v>174</v>
      </c>
      <c r="D563" s="36"/>
      <c r="E563" s="36"/>
      <c r="F563" s="31">
        <f>F564+F575+F615+F627+F638</f>
        <v>4079480.9134000004</v>
      </c>
      <c r="G563" s="31">
        <f>G564+G575+G615+G627+G638</f>
        <v>4150587.1040000003</v>
      </c>
      <c r="H563" s="31">
        <f>H564+H575+H615+H627+H638</f>
        <v>4222172.852</v>
      </c>
    </row>
    <row r="564" spans="1:8" s="196" customFormat="1" ht="12" x14ac:dyDescent="0.2">
      <c r="A564" s="29" t="s">
        <v>672</v>
      </c>
      <c r="B564" s="30" t="s">
        <v>375</v>
      </c>
      <c r="C564" s="30" t="s">
        <v>173</v>
      </c>
      <c r="D564" s="30"/>
      <c r="E564" s="30"/>
      <c r="F564" s="31">
        <f t="shared" ref="F564:H565" si="169">F565</f>
        <v>1712744.4100000001</v>
      </c>
      <c r="G564" s="31">
        <f t="shared" si="169"/>
        <v>1848447.3</v>
      </c>
      <c r="H564" s="31">
        <f t="shared" si="169"/>
        <v>1871984.8</v>
      </c>
    </row>
    <row r="565" spans="1:8" s="196" customFormat="1" ht="12" x14ac:dyDescent="0.2">
      <c r="A565" s="39" t="s">
        <v>673</v>
      </c>
      <c r="B565" s="40" t="s">
        <v>375</v>
      </c>
      <c r="C565" s="40" t="s">
        <v>173</v>
      </c>
      <c r="D565" s="40" t="s">
        <v>674</v>
      </c>
      <c r="E565" s="40"/>
      <c r="F565" s="41">
        <f t="shared" si="169"/>
        <v>1712744.4100000001</v>
      </c>
      <c r="G565" s="41">
        <f t="shared" si="169"/>
        <v>1848447.3</v>
      </c>
      <c r="H565" s="41">
        <f t="shared" si="169"/>
        <v>1871984.8</v>
      </c>
    </row>
    <row r="566" spans="1:8" s="196" customFormat="1" ht="12" x14ac:dyDescent="0.2">
      <c r="A566" s="29" t="s">
        <v>675</v>
      </c>
      <c r="B566" s="30" t="s">
        <v>375</v>
      </c>
      <c r="C566" s="30" t="s">
        <v>173</v>
      </c>
      <c r="D566" s="30" t="s">
        <v>676</v>
      </c>
      <c r="E566" s="30"/>
      <c r="F566" s="31">
        <f>F567+F571</f>
        <v>1712744.4100000001</v>
      </c>
      <c r="G566" s="31">
        <f>G567+G571</f>
        <v>1848447.3</v>
      </c>
      <c r="H566" s="31">
        <f>H567+H571</f>
        <v>1871984.8</v>
      </c>
    </row>
    <row r="567" spans="1:8" s="196" customFormat="1" ht="24" x14ac:dyDescent="0.2">
      <c r="A567" s="39" t="s">
        <v>677</v>
      </c>
      <c r="B567" s="40" t="s">
        <v>375</v>
      </c>
      <c r="C567" s="40" t="s">
        <v>173</v>
      </c>
      <c r="D567" s="40" t="s">
        <v>678</v>
      </c>
      <c r="E567" s="40"/>
      <c r="F567" s="41">
        <f>F568</f>
        <v>694000.3</v>
      </c>
      <c r="G567" s="41">
        <f>G568</f>
        <v>727613.3</v>
      </c>
      <c r="H567" s="41">
        <f>H568</f>
        <v>727613.3</v>
      </c>
    </row>
    <row r="568" spans="1:8" s="196" customFormat="1" ht="12" x14ac:dyDescent="0.2">
      <c r="A568" s="35" t="s">
        <v>356</v>
      </c>
      <c r="B568" s="36" t="s">
        <v>375</v>
      </c>
      <c r="C568" s="36" t="s">
        <v>173</v>
      </c>
      <c r="D568" s="36" t="s">
        <v>679</v>
      </c>
      <c r="E568" s="36" t="s">
        <v>357</v>
      </c>
      <c r="F568" s="37">
        <f>F569+F570</f>
        <v>694000.3</v>
      </c>
      <c r="G568" s="37">
        <f>G569+G570</f>
        <v>727613.3</v>
      </c>
      <c r="H568" s="37">
        <f>H569+H570</f>
        <v>727613.3</v>
      </c>
    </row>
    <row r="569" spans="1:8" s="196" customFormat="1" ht="12" x14ac:dyDescent="0.2">
      <c r="A569" s="35" t="s">
        <v>358</v>
      </c>
      <c r="B569" s="36" t="s">
        <v>375</v>
      </c>
      <c r="C569" s="36" t="s">
        <v>173</v>
      </c>
      <c r="D569" s="36" t="s">
        <v>679</v>
      </c>
      <c r="E569" s="36" t="s">
        <v>359</v>
      </c>
      <c r="F569" s="37">
        <f>657455.3-3393-10000-10000-7500-220-2500-6719.416</f>
        <v>617122.88400000008</v>
      </c>
      <c r="G569" s="37">
        <v>657455.30000000005</v>
      </c>
      <c r="H569" s="37">
        <v>657455.30000000005</v>
      </c>
    </row>
    <row r="570" spans="1:8" s="196" customFormat="1" ht="12" x14ac:dyDescent="0.2">
      <c r="A570" s="35" t="s">
        <v>383</v>
      </c>
      <c r="B570" s="36" t="s">
        <v>375</v>
      </c>
      <c r="C570" s="36" t="s">
        <v>173</v>
      </c>
      <c r="D570" s="36" t="s">
        <v>679</v>
      </c>
      <c r="E570" s="36" t="s">
        <v>384</v>
      </c>
      <c r="F570" s="37">
        <f>70158+6719.416</f>
        <v>76877.415999999997</v>
      </c>
      <c r="G570" s="37">
        <v>70158</v>
      </c>
      <c r="H570" s="37">
        <v>70158</v>
      </c>
    </row>
    <row r="571" spans="1:8" s="196" customFormat="1" ht="36" x14ac:dyDescent="0.2">
      <c r="A571" s="39" t="s">
        <v>680</v>
      </c>
      <c r="B571" s="40" t="s">
        <v>375</v>
      </c>
      <c r="C571" s="40" t="s">
        <v>173</v>
      </c>
      <c r="D571" s="40" t="s">
        <v>681</v>
      </c>
      <c r="E571" s="40"/>
      <c r="F571" s="41">
        <f>F572</f>
        <v>1018744.11</v>
      </c>
      <c r="G571" s="41">
        <f>G572</f>
        <v>1120834</v>
      </c>
      <c r="H571" s="41">
        <f>H572</f>
        <v>1144371.5</v>
      </c>
    </row>
    <row r="572" spans="1:8" s="196" customFormat="1" ht="12" x14ac:dyDescent="0.2">
      <c r="A572" s="35" t="s">
        <v>356</v>
      </c>
      <c r="B572" s="36" t="s">
        <v>375</v>
      </c>
      <c r="C572" s="36" t="s">
        <v>173</v>
      </c>
      <c r="D572" s="36" t="s">
        <v>681</v>
      </c>
      <c r="E572" s="36" t="s">
        <v>357</v>
      </c>
      <c r="F572" s="37">
        <f>F573+F574</f>
        <v>1018744.11</v>
      </c>
      <c r="G572" s="37">
        <f>G573+G574</f>
        <v>1120834</v>
      </c>
      <c r="H572" s="37">
        <f>H573+H574</f>
        <v>1144371.5</v>
      </c>
    </row>
    <row r="573" spans="1:8" s="196" customFormat="1" ht="12" x14ac:dyDescent="0.2">
      <c r="A573" s="35" t="s">
        <v>358</v>
      </c>
      <c r="B573" s="36" t="s">
        <v>375</v>
      </c>
      <c r="C573" s="36" t="s">
        <v>173</v>
      </c>
      <c r="D573" s="36" t="s">
        <v>681</v>
      </c>
      <c r="E573" s="36" t="s">
        <v>359</v>
      </c>
      <c r="F573" s="37">
        <f>979805+28000-20000-63690.99</f>
        <v>924114.01</v>
      </c>
      <c r="G573" s="37">
        <v>1032310.7</v>
      </c>
      <c r="H573" s="37">
        <v>1055848.2</v>
      </c>
    </row>
    <row r="574" spans="1:8" s="196" customFormat="1" ht="12" x14ac:dyDescent="0.2">
      <c r="A574" s="35" t="s">
        <v>383</v>
      </c>
      <c r="B574" s="36" t="s">
        <v>375</v>
      </c>
      <c r="C574" s="36" t="s">
        <v>173</v>
      </c>
      <c r="D574" s="36" t="s">
        <v>681</v>
      </c>
      <c r="E574" s="36" t="s">
        <v>384</v>
      </c>
      <c r="F574" s="37">
        <f>98523.3+2673-6566.2</f>
        <v>94630.1</v>
      </c>
      <c r="G574" s="37">
        <v>88523.3</v>
      </c>
      <c r="H574" s="37">
        <v>88523.3</v>
      </c>
    </row>
    <row r="575" spans="1:8" s="196" customFormat="1" ht="12" x14ac:dyDescent="0.2">
      <c r="A575" s="29" t="s">
        <v>682</v>
      </c>
      <c r="B575" s="30" t="s">
        <v>375</v>
      </c>
      <c r="C575" s="30" t="s">
        <v>352</v>
      </c>
      <c r="D575" s="30"/>
      <c r="E575" s="40"/>
      <c r="F575" s="31">
        <f>F576</f>
        <v>1882912.88069</v>
      </c>
      <c r="G575" s="31">
        <f t="shared" ref="G575:H575" si="170">G576</f>
        <v>1881457.4040000001</v>
      </c>
      <c r="H575" s="31">
        <f t="shared" si="170"/>
        <v>1902965.652</v>
      </c>
    </row>
    <row r="576" spans="1:8" s="196" customFormat="1" ht="12" x14ac:dyDescent="0.2">
      <c r="A576" s="39" t="s">
        <v>673</v>
      </c>
      <c r="B576" s="40" t="s">
        <v>375</v>
      </c>
      <c r="C576" s="40" t="s">
        <v>352</v>
      </c>
      <c r="D576" s="40" t="s">
        <v>674</v>
      </c>
      <c r="E576" s="40"/>
      <c r="F576" s="41">
        <f>F577+F610</f>
        <v>1882912.88069</v>
      </c>
      <c r="G576" s="41">
        <f>G577+G610</f>
        <v>1881457.4040000001</v>
      </c>
      <c r="H576" s="41">
        <f>H577+H610</f>
        <v>1902965.652</v>
      </c>
    </row>
    <row r="577" spans="1:8" s="196" customFormat="1" ht="12" x14ac:dyDescent="0.2">
      <c r="A577" s="29" t="s">
        <v>675</v>
      </c>
      <c r="B577" s="30" t="s">
        <v>375</v>
      </c>
      <c r="C577" s="30" t="s">
        <v>352</v>
      </c>
      <c r="D577" s="30" t="s">
        <v>676</v>
      </c>
      <c r="E577" s="30"/>
      <c r="F577" s="31">
        <f>F578+F582+F586+F590+F594+F598+F602+F606</f>
        <v>1874902.6806900001</v>
      </c>
      <c r="G577" s="31">
        <f>G578+G582+G586+G590+G594+G598+G602+G606</f>
        <v>1873447.2040000001</v>
      </c>
      <c r="H577" s="31">
        <f>H578+H582+H586+H590+H594+H598+H602+H606</f>
        <v>1894955.452</v>
      </c>
    </row>
    <row r="578" spans="1:8" s="196" customFormat="1" ht="12" x14ac:dyDescent="0.2">
      <c r="A578" s="52" t="s">
        <v>683</v>
      </c>
      <c r="B578" s="49" t="s">
        <v>375</v>
      </c>
      <c r="C578" s="49" t="s">
        <v>352</v>
      </c>
      <c r="D578" s="49" t="s">
        <v>684</v>
      </c>
      <c r="E578" s="49"/>
      <c r="F578" s="53">
        <f>F579</f>
        <v>353331.3</v>
      </c>
      <c r="G578" s="53">
        <f>G579</f>
        <v>349831.3</v>
      </c>
      <c r="H578" s="53">
        <f>H579</f>
        <v>349831.3</v>
      </c>
    </row>
    <row r="579" spans="1:8" s="196" customFormat="1" ht="12" x14ac:dyDescent="0.2">
      <c r="A579" s="35" t="s">
        <v>356</v>
      </c>
      <c r="B579" s="36" t="s">
        <v>375</v>
      </c>
      <c r="C579" s="36" t="s">
        <v>352</v>
      </c>
      <c r="D579" s="36" t="s">
        <v>685</v>
      </c>
      <c r="E579" s="36" t="s">
        <v>357</v>
      </c>
      <c r="F579" s="37">
        <f>F580+F581</f>
        <v>353331.3</v>
      </c>
      <c r="G579" s="37">
        <f>G580+G581</f>
        <v>349831.3</v>
      </c>
      <c r="H579" s="37">
        <f>H580+H581</f>
        <v>349831.3</v>
      </c>
    </row>
    <row r="580" spans="1:8" s="196" customFormat="1" ht="12" x14ac:dyDescent="0.2">
      <c r="A580" s="35" t="s">
        <v>358</v>
      </c>
      <c r="B580" s="36" t="s">
        <v>375</v>
      </c>
      <c r="C580" s="36" t="s">
        <v>352</v>
      </c>
      <c r="D580" s="36" t="s">
        <v>685</v>
      </c>
      <c r="E580" s="36" t="s">
        <v>359</v>
      </c>
      <c r="F580" s="37">
        <f>335631.3-2200-4300+10000</f>
        <v>339131.3</v>
      </c>
      <c r="G580" s="37">
        <v>335631.3</v>
      </c>
      <c r="H580" s="37">
        <v>335631.3</v>
      </c>
    </row>
    <row r="581" spans="1:8" s="196" customFormat="1" ht="12" x14ac:dyDescent="0.2">
      <c r="A581" s="35" t="s">
        <v>383</v>
      </c>
      <c r="B581" s="36" t="s">
        <v>375</v>
      </c>
      <c r="C581" s="36" t="s">
        <v>352</v>
      </c>
      <c r="D581" s="36" t="s">
        <v>685</v>
      </c>
      <c r="E581" s="36" t="s">
        <v>384</v>
      </c>
      <c r="F581" s="37">
        <v>14200</v>
      </c>
      <c r="G581" s="37">
        <v>14200</v>
      </c>
      <c r="H581" s="37">
        <v>14200</v>
      </c>
    </row>
    <row r="582" spans="1:8" s="196" customFormat="1" ht="48" x14ac:dyDescent="0.2">
      <c r="A582" s="189" t="s">
        <v>686</v>
      </c>
      <c r="B582" s="40" t="s">
        <v>375</v>
      </c>
      <c r="C582" s="40" t="s">
        <v>352</v>
      </c>
      <c r="D582" s="40" t="s">
        <v>687</v>
      </c>
      <c r="E582" s="40"/>
      <c r="F582" s="41">
        <f>F583</f>
        <v>1188758.5999999999</v>
      </c>
      <c r="G582" s="41">
        <f>G583</f>
        <v>1241014</v>
      </c>
      <c r="H582" s="41">
        <f>H583</f>
        <v>1267626.8999999999</v>
      </c>
    </row>
    <row r="583" spans="1:8" s="196" customFormat="1" ht="12" x14ac:dyDescent="0.2">
      <c r="A583" s="35" t="s">
        <v>356</v>
      </c>
      <c r="B583" s="36" t="s">
        <v>375</v>
      </c>
      <c r="C583" s="36" t="s">
        <v>352</v>
      </c>
      <c r="D583" s="36" t="s">
        <v>687</v>
      </c>
      <c r="E583" s="36" t="s">
        <v>357</v>
      </c>
      <c r="F583" s="37">
        <f>F584+F585</f>
        <v>1188758.5999999999</v>
      </c>
      <c r="G583" s="37">
        <f>G584+G585</f>
        <v>1241014</v>
      </c>
      <c r="H583" s="37">
        <f>H584+H585</f>
        <v>1267626.8999999999</v>
      </c>
    </row>
    <row r="584" spans="1:8" s="196" customFormat="1" ht="12" x14ac:dyDescent="0.2">
      <c r="A584" s="35" t="s">
        <v>358</v>
      </c>
      <c r="B584" s="36" t="s">
        <v>375</v>
      </c>
      <c r="C584" s="36" t="s">
        <v>352</v>
      </c>
      <c r="D584" s="36" t="s">
        <v>687</v>
      </c>
      <c r="E584" s="36" t="s">
        <v>359</v>
      </c>
      <c r="F584" s="37">
        <f>1170164.4+31000-59959</f>
        <v>1141205.3999999999</v>
      </c>
      <c r="G584" s="37">
        <v>1196639.8</v>
      </c>
      <c r="H584" s="37">
        <v>1223252.7</v>
      </c>
    </row>
    <row r="585" spans="1:8" s="196" customFormat="1" ht="12" x14ac:dyDescent="0.2">
      <c r="A585" s="35" t="s">
        <v>383</v>
      </c>
      <c r="B585" s="36" t="s">
        <v>375</v>
      </c>
      <c r="C585" s="36" t="s">
        <v>352</v>
      </c>
      <c r="D585" s="36" t="s">
        <v>687</v>
      </c>
      <c r="E585" s="36" t="s">
        <v>384</v>
      </c>
      <c r="F585" s="37">
        <f>48374.2+1600-2421</f>
        <v>47553.2</v>
      </c>
      <c r="G585" s="37">
        <v>44374.2</v>
      </c>
      <c r="H585" s="37">
        <v>44374.2</v>
      </c>
    </row>
    <row r="586" spans="1:8" s="196" customFormat="1" ht="24" x14ac:dyDescent="0.2">
      <c r="A586" s="39" t="s">
        <v>688</v>
      </c>
      <c r="B586" s="40" t="s">
        <v>375</v>
      </c>
      <c r="C586" s="40" t="s">
        <v>352</v>
      </c>
      <c r="D586" s="40" t="s">
        <v>689</v>
      </c>
      <c r="E586" s="40"/>
      <c r="F586" s="41">
        <f>F587</f>
        <v>99603</v>
      </c>
      <c r="G586" s="41">
        <f t="shared" ref="G586:H586" si="171">G587</f>
        <v>99603</v>
      </c>
      <c r="H586" s="41">
        <f t="shared" si="171"/>
        <v>99603</v>
      </c>
    </row>
    <row r="587" spans="1:8" s="196" customFormat="1" ht="12" x14ac:dyDescent="0.2">
      <c r="A587" s="35" t="s">
        <v>356</v>
      </c>
      <c r="B587" s="36" t="s">
        <v>375</v>
      </c>
      <c r="C587" s="36" t="s">
        <v>352</v>
      </c>
      <c r="D587" s="36" t="s">
        <v>689</v>
      </c>
      <c r="E587" s="36" t="s">
        <v>357</v>
      </c>
      <c r="F587" s="37">
        <f>F588+F589</f>
        <v>99603</v>
      </c>
      <c r="G587" s="37">
        <f>G588+G589</f>
        <v>99603</v>
      </c>
      <c r="H587" s="37">
        <f>H588+H589</f>
        <v>99603</v>
      </c>
    </row>
    <row r="588" spans="1:8" s="196" customFormat="1" ht="12" x14ac:dyDescent="0.2">
      <c r="A588" s="35" t="s">
        <v>358</v>
      </c>
      <c r="B588" s="36" t="s">
        <v>375</v>
      </c>
      <c r="C588" s="36" t="s">
        <v>352</v>
      </c>
      <c r="D588" s="36" t="s">
        <v>689</v>
      </c>
      <c r="E588" s="36" t="s">
        <v>359</v>
      </c>
      <c r="F588" s="37">
        <v>96165.7</v>
      </c>
      <c r="G588" s="37">
        <v>96165.7</v>
      </c>
      <c r="H588" s="37">
        <v>96165.7</v>
      </c>
    </row>
    <row r="589" spans="1:8" s="196" customFormat="1" ht="12" x14ac:dyDescent="0.2">
      <c r="A589" s="35" t="s">
        <v>383</v>
      </c>
      <c r="B589" s="36" t="s">
        <v>375</v>
      </c>
      <c r="C589" s="36" t="s">
        <v>352</v>
      </c>
      <c r="D589" s="36" t="s">
        <v>689</v>
      </c>
      <c r="E589" s="36" t="s">
        <v>384</v>
      </c>
      <c r="F589" s="37">
        <v>3437.3</v>
      </c>
      <c r="G589" s="37">
        <v>3437.3</v>
      </c>
      <c r="H589" s="37">
        <v>3437.3</v>
      </c>
    </row>
    <row r="590" spans="1:8" s="196" customFormat="1" ht="24" x14ac:dyDescent="0.2">
      <c r="A590" s="39" t="s">
        <v>690</v>
      </c>
      <c r="B590" s="40" t="s">
        <v>375</v>
      </c>
      <c r="C590" s="40" t="s">
        <v>352</v>
      </c>
      <c r="D590" s="40" t="s">
        <v>691</v>
      </c>
      <c r="E590" s="40"/>
      <c r="F590" s="41">
        <f>F591</f>
        <v>185993.9412</v>
      </c>
      <c r="G590" s="41">
        <f>G591</f>
        <v>174834.304</v>
      </c>
      <c r="H590" s="41">
        <f>H591</f>
        <v>169729.652</v>
      </c>
    </row>
    <row r="591" spans="1:8" s="196" customFormat="1" ht="12" x14ac:dyDescent="0.2">
      <c r="A591" s="35" t="s">
        <v>356</v>
      </c>
      <c r="B591" s="36" t="s">
        <v>375</v>
      </c>
      <c r="C591" s="36" t="s">
        <v>352</v>
      </c>
      <c r="D591" s="36" t="s">
        <v>691</v>
      </c>
      <c r="E591" s="36" t="s">
        <v>357</v>
      </c>
      <c r="F591" s="37">
        <f>F592+F593</f>
        <v>185993.9412</v>
      </c>
      <c r="G591" s="37">
        <f>G592+G593</f>
        <v>174834.304</v>
      </c>
      <c r="H591" s="37">
        <f>H592+H593</f>
        <v>169729.652</v>
      </c>
    </row>
    <row r="592" spans="1:8" s="196" customFormat="1" ht="12" x14ac:dyDescent="0.2">
      <c r="A592" s="35" t="s">
        <v>358</v>
      </c>
      <c r="B592" s="36" t="s">
        <v>375</v>
      </c>
      <c r="C592" s="36" t="s">
        <v>352</v>
      </c>
      <c r="D592" s="36" t="s">
        <v>691</v>
      </c>
      <c r="E592" s="36" t="s">
        <v>359</v>
      </c>
      <c r="F592" s="37">
        <f>169009.304+8108.891+0.0012</f>
        <v>177118.19620000001</v>
      </c>
      <c r="G592" s="37">
        <v>169009.304</v>
      </c>
      <c r="H592" s="37">
        <v>163904.652</v>
      </c>
    </row>
    <row r="593" spans="1:8" s="196" customFormat="1" ht="12" x14ac:dyDescent="0.2">
      <c r="A593" s="35" t="s">
        <v>383</v>
      </c>
      <c r="B593" s="36" t="s">
        <v>375</v>
      </c>
      <c r="C593" s="36" t="s">
        <v>352</v>
      </c>
      <c r="D593" s="36" t="s">
        <v>691</v>
      </c>
      <c r="E593" s="36" t="s">
        <v>384</v>
      </c>
      <c r="F593" s="37">
        <f>5825+3050.745</f>
        <v>8875.744999999999</v>
      </c>
      <c r="G593" s="37">
        <v>5825</v>
      </c>
      <c r="H593" s="37">
        <v>5825</v>
      </c>
    </row>
    <row r="594" spans="1:8" s="196" customFormat="1" ht="24" x14ac:dyDescent="0.2">
      <c r="A594" s="39" t="s">
        <v>692</v>
      </c>
      <c r="B594" s="40" t="s">
        <v>375</v>
      </c>
      <c r="C594" s="40" t="s">
        <v>352</v>
      </c>
      <c r="D594" s="40" t="s">
        <v>693</v>
      </c>
      <c r="E594" s="36"/>
      <c r="F594" s="41">
        <f>F595</f>
        <v>35907.192490000001</v>
      </c>
      <c r="G594" s="47">
        <f>G595</f>
        <v>0</v>
      </c>
      <c r="H594" s="47">
        <f>H595</f>
        <v>0</v>
      </c>
    </row>
    <row r="595" spans="1:8" s="196" customFormat="1" ht="12" x14ac:dyDescent="0.2">
      <c r="A595" s="35" t="s">
        <v>356</v>
      </c>
      <c r="B595" s="36" t="s">
        <v>375</v>
      </c>
      <c r="C595" s="36" t="s">
        <v>352</v>
      </c>
      <c r="D595" s="36" t="s">
        <v>693</v>
      </c>
      <c r="E595" s="36" t="s">
        <v>357</v>
      </c>
      <c r="F595" s="37">
        <f>F596+F597</f>
        <v>35907.192490000001</v>
      </c>
      <c r="G595" s="46">
        <f>G596+G597</f>
        <v>0</v>
      </c>
      <c r="H595" s="46">
        <f>H596+H597</f>
        <v>0</v>
      </c>
    </row>
    <row r="596" spans="1:8" s="196" customFormat="1" ht="12" x14ac:dyDescent="0.2">
      <c r="A596" s="35" t="s">
        <v>358</v>
      </c>
      <c r="B596" s="36" t="s">
        <v>375</v>
      </c>
      <c r="C596" s="36" t="s">
        <v>352</v>
      </c>
      <c r="D596" s="36" t="s">
        <v>693</v>
      </c>
      <c r="E596" s="36" t="s">
        <v>359</v>
      </c>
      <c r="F596" s="37">
        <f>30387-11492.80751+15800</f>
        <v>34694.192490000001</v>
      </c>
      <c r="G596" s="46">
        <v>0</v>
      </c>
      <c r="H596" s="46">
        <v>0</v>
      </c>
    </row>
    <row r="597" spans="1:8" s="196" customFormat="1" ht="12" x14ac:dyDescent="0.2">
      <c r="A597" s="35" t="s">
        <v>383</v>
      </c>
      <c r="B597" s="36" t="s">
        <v>375</v>
      </c>
      <c r="C597" s="36" t="s">
        <v>352</v>
      </c>
      <c r="D597" s="36" t="s">
        <v>693</v>
      </c>
      <c r="E597" s="36" t="s">
        <v>384</v>
      </c>
      <c r="F597" s="37">
        <v>1213</v>
      </c>
      <c r="G597" s="46">
        <v>0</v>
      </c>
      <c r="H597" s="46">
        <v>0</v>
      </c>
    </row>
    <row r="598" spans="1:8" s="196" customFormat="1" ht="24" x14ac:dyDescent="0.2">
      <c r="A598" s="39" t="s">
        <v>694</v>
      </c>
      <c r="B598" s="40" t="s">
        <v>375</v>
      </c>
      <c r="C598" s="40" t="s">
        <v>352</v>
      </c>
      <c r="D598" s="40" t="s">
        <v>696</v>
      </c>
      <c r="E598" s="36"/>
      <c r="F598" s="47">
        <f>F599</f>
        <v>2114.6469999999999</v>
      </c>
      <c r="G598" s="47">
        <f>G599</f>
        <v>8164.6</v>
      </c>
      <c r="H598" s="47">
        <f>H599</f>
        <v>8164.6</v>
      </c>
    </row>
    <row r="599" spans="1:8" s="196" customFormat="1" ht="12" x14ac:dyDescent="0.2">
      <c r="A599" s="35" t="s">
        <v>356</v>
      </c>
      <c r="B599" s="36" t="s">
        <v>375</v>
      </c>
      <c r="C599" s="36" t="s">
        <v>352</v>
      </c>
      <c r="D599" s="36" t="s">
        <v>696</v>
      </c>
      <c r="E599" s="36" t="s">
        <v>357</v>
      </c>
      <c r="F599" s="46">
        <f>F600+F601</f>
        <v>2114.6469999999999</v>
      </c>
      <c r="G599" s="46">
        <f>G600+G601</f>
        <v>8164.6</v>
      </c>
      <c r="H599" s="46">
        <f>H600+H601</f>
        <v>8164.6</v>
      </c>
    </row>
    <row r="600" spans="1:8" s="196" customFormat="1" ht="12" x14ac:dyDescent="0.2">
      <c r="A600" s="35" t="s">
        <v>358</v>
      </c>
      <c r="B600" s="36" t="s">
        <v>375</v>
      </c>
      <c r="C600" s="36" t="s">
        <v>352</v>
      </c>
      <c r="D600" s="36" t="s">
        <v>696</v>
      </c>
      <c r="E600" s="36" t="s">
        <v>359</v>
      </c>
      <c r="F600" s="46">
        <v>1673.5</v>
      </c>
      <c r="G600" s="46">
        <v>7744.6</v>
      </c>
      <c r="H600" s="46">
        <v>7744.6</v>
      </c>
    </row>
    <row r="601" spans="1:8" s="196" customFormat="1" ht="12" x14ac:dyDescent="0.2">
      <c r="A601" s="35" t="s">
        <v>383</v>
      </c>
      <c r="B601" s="36" t="s">
        <v>375</v>
      </c>
      <c r="C601" s="36" t="s">
        <v>352</v>
      </c>
      <c r="D601" s="36" t="s">
        <v>696</v>
      </c>
      <c r="E601" s="36" t="s">
        <v>384</v>
      </c>
      <c r="F601" s="46">
        <f>420+21.147</f>
        <v>441.14699999999999</v>
      </c>
      <c r="G601" s="46">
        <v>420</v>
      </c>
      <c r="H601" s="46">
        <v>420</v>
      </c>
    </row>
    <row r="602" spans="1:8" s="196" customFormat="1" ht="24" x14ac:dyDescent="0.2">
      <c r="A602" s="39" t="s">
        <v>697</v>
      </c>
      <c r="B602" s="40" t="s">
        <v>375</v>
      </c>
      <c r="C602" s="40" t="s">
        <v>352</v>
      </c>
      <c r="D602" s="40" t="s">
        <v>698</v>
      </c>
      <c r="E602" s="36"/>
      <c r="F602" s="47">
        <f>F603</f>
        <v>1594</v>
      </c>
      <c r="G602" s="47">
        <f>G603</f>
        <v>0</v>
      </c>
      <c r="H602" s="47">
        <f>H603</f>
        <v>0</v>
      </c>
    </row>
    <row r="603" spans="1:8" s="196" customFormat="1" ht="12" x14ac:dyDescent="0.2">
      <c r="A603" s="35" t="s">
        <v>356</v>
      </c>
      <c r="B603" s="36" t="s">
        <v>375</v>
      </c>
      <c r="C603" s="36" t="s">
        <v>352</v>
      </c>
      <c r="D603" s="36" t="s">
        <v>698</v>
      </c>
      <c r="E603" s="36" t="s">
        <v>357</v>
      </c>
      <c r="F603" s="46">
        <f>F604+F605</f>
        <v>1594</v>
      </c>
      <c r="G603" s="46">
        <f>G604+G605</f>
        <v>0</v>
      </c>
      <c r="H603" s="46">
        <f>H604+H605</f>
        <v>0</v>
      </c>
    </row>
    <row r="604" spans="1:8" s="196" customFormat="1" ht="12" x14ac:dyDescent="0.2">
      <c r="A604" s="35" t="s">
        <v>358</v>
      </c>
      <c r="B604" s="36" t="s">
        <v>375</v>
      </c>
      <c r="C604" s="36" t="s">
        <v>352</v>
      </c>
      <c r="D604" s="36" t="s">
        <v>698</v>
      </c>
      <c r="E604" s="36" t="s">
        <v>359</v>
      </c>
      <c r="F604" s="46">
        <f>1500-44.824</f>
        <v>1455.1759999999999</v>
      </c>
      <c r="G604" s="46">
        <f>G605</f>
        <v>0</v>
      </c>
      <c r="H604" s="46">
        <f>H605</f>
        <v>0</v>
      </c>
    </row>
    <row r="605" spans="1:8" s="196" customFormat="1" ht="12" x14ac:dyDescent="0.2">
      <c r="A605" s="35" t="s">
        <v>383</v>
      </c>
      <c r="B605" s="36" t="s">
        <v>375</v>
      </c>
      <c r="C605" s="36" t="s">
        <v>352</v>
      </c>
      <c r="D605" s="36" t="s">
        <v>698</v>
      </c>
      <c r="E605" s="36" t="s">
        <v>384</v>
      </c>
      <c r="F605" s="46">
        <f>94+44.824</f>
        <v>138.82400000000001</v>
      </c>
      <c r="G605" s="46">
        <v>0</v>
      </c>
      <c r="H605" s="46">
        <v>0</v>
      </c>
    </row>
    <row r="606" spans="1:8" s="196" customFormat="1" ht="24" x14ac:dyDescent="0.2">
      <c r="A606" s="39" t="s">
        <v>699</v>
      </c>
      <c r="B606" s="40" t="s">
        <v>375</v>
      </c>
      <c r="C606" s="40" t="s">
        <v>352</v>
      </c>
      <c r="D606" s="30" t="s">
        <v>700</v>
      </c>
      <c r="E606" s="36"/>
      <c r="F606" s="47">
        <f>F607</f>
        <v>7600</v>
      </c>
      <c r="G606" s="47">
        <f t="shared" ref="G606:G608" si="172">G607</f>
        <v>0</v>
      </c>
      <c r="H606" s="47">
        <f>H607</f>
        <v>0</v>
      </c>
    </row>
    <row r="607" spans="1:8" s="196" customFormat="1" ht="12" x14ac:dyDescent="0.2">
      <c r="A607" s="35" t="s">
        <v>356</v>
      </c>
      <c r="B607" s="36" t="s">
        <v>375</v>
      </c>
      <c r="C607" s="36" t="s">
        <v>352</v>
      </c>
      <c r="D607" s="36" t="s">
        <v>700</v>
      </c>
      <c r="E607" s="36" t="s">
        <v>357</v>
      </c>
      <c r="F607" s="46">
        <f>F608+F609</f>
        <v>7600</v>
      </c>
      <c r="G607" s="46">
        <f t="shared" si="172"/>
        <v>0</v>
      </c>
      <c r="H607" s="46">
        <f>H608</f>
        <v>0</v>
      </c>
    </row>
    <row r="608" spans="1:8" s="196" customFormat="1" ht="12" x14ac:dyDescent="0.2">
      <c r="A608" s="35" t="s">
        <v>358</v>
      </c>
      <c r="B608" s="36" t="s">
        <v>375</v>
      </c>
      <c r="C608" s="36" t="s">
        <v>352</v>
      </c>
      <c r="D608" s="36" t="s">
        <v>700</v>
      </c>
      <c r="E608" s="36" t="s">
        <v>359</v>
      </c>
      <c r="F608" s="46">
        <v>6600</v>
      </c>
      <c r="G608" s="46">
        <f t="shared" si="172"/>
        <v>0</v>
      </c>
      <c r="H608" s="46">
        <f>H609</f>
        <v>0</v>
      </c>
    </row>
    <row r="609" spans="1:8" s="196" customFormat="1" ht="12" x14ac:dyDescent="0.2">
      <c r="A609" s="35" t="s">
        <v>383</v>
      </c>
      <c r="B609" s="36" t="s">
        <v>375</v>
      </c>
      <c r="C609" s="36" t="s">
        <v>352</v>
      </c>
      <c r="D609" s="36" t="s">
        <v>700</v>
      </c>
      <c r="E609" s="36" t="s">
        <v>384</v>
      </c>
      <c r="F609" s="46">
        <v>1000</v>
      </c>
      <c r="G609" s="46">
        <v>0</v>
      </c>
      <c r="H609" s="46">
        <v>0</v>
      </c>
    </row>
    <row r="610" spans="1:8" s="196" customFormat="1" ht="12" x14ac:dyDescent="0.2">
      <c r="A610" s="29" t="s">
        <v>701</v>
      </c>
      <c r="B610" s="30" t="s">
        <v>375</v>
      </c>
      <c r="C610" s="30" t="s">
        <v>352</v>
      </c>
      <c r="D610" s="30" t="s">
        <v>702</v>
      </c>
      <c r="E610" s="30"/>
      <c r="F610" s="31">
        <f t="shared" ref="F610:H611" si="173">F611</f>
        <v>8010.2</v>
      </c>
      <c r="G610" s="31">
        <f t="shared" si="173"/>
        <v>8010.2</v>
      </c>
      <c r="H610" s="31">
        <f t="shared" si="173"/>
        <v>8010.2</v>
      </c>
    </row>
    <row r="611" spans="1:8" s="196" customFormat="1" ht="12" x14ac:dyDescent="0.2">
      <c r="A611" s="42" t="s">
        <v>703</v>
      </c>
      <c r="B611" s="40" t="s">
        <v>375</v>
      </c>
      <c r="C611" s="40" t="s">
        <v>352</v>
      </c>
      <c r="D611" s="40" t="s">
        <v>704</v>
      </c>
      <c r="E611" s="40"/>
      <c r="F611" s="41">
        <f t="shared" si="173"/>
        <v>8010.2</v>
      </c>
      <c r="G611" s="41">
        <f t="shared" si="173"/>
        <v>8010.2</v>
      </c>
      <c r="H611" s="41">
        <f t="shared" si="173"/>
        <v>8010.2</v>
      </c>
    </row>
    <row r="612" spans="1:8" s="196" customFormat="1" ht="12" x14ac:dyDescent="0.2">
      <c r="A612" s="35" t="s">
        <v>356</v>
      </c>
      <c r="B612" s="36" t="s">
        <v>375</v>
      </c>
      <c r="C612" s="36" t="s">
        <v>352</v>
      </c>
      <c r="D612" s="36" t="s">
        <v>705</v>
      </c>
      <c r="E612" s="36" t="s">
        <v>357</v>
      </c>
      <c r="F612" s="37">
        <f>F613+F614</f>
        <v>8010.2</v>
      </c>
      <c r="G612" s="37">
        <f>G613+G614</f>
        <v>8010.2</v>
      </c>
      <c r="H612" s="37">
        <f>H613+H614</f>
        <v>8010.2</v>
      </c>
    </row>
    <row r="613" spans="1:8" s="196" customFormat="1" ht="12" x14ac:dyDescent="0.2">
      <c r="A613" s="35" t="s">
        <v>358</v>
      </c>
      <c r="B613" s="36" t="s">
        <v>375</v>
      </c>
      <c r="C613" s="36" t="s">
        <v>352</v>
      </c>
      <c r="D613" s="36" t="s">
        <v>705</v>
      </c>
      <c r="E613" s="36" t="s">
        <v>359</v>
      </c>
      <c r="F613" s="37">
        <v>7882.8</v>
      </c>
      <c r="G613" s="37">
        <v>7882.8</v>
      </c>
      <c r="H613" s="37">
        <v>7882.8</v>
      </c>
    </row>
    <row r="614" spans="1:8" s="196" customFormat="1" ht="12" x14ac:dyDescent="0.2">
      <c r="A614" s="35" t="s">
        <v>383</v>
      </c>
      <c r="B614" s="36" t="s">
        <v>375</v>
      </c>
      <c r="C614" s="36" t="s">
        <v>352</v>
      </c>
      <c r="D614" s="36" t="s">
        <v>705</v>
      </c>
      <c r="E614" s="36" t="s">
        <v>384</v>
      </c>
      <c r="F614" s="37">
        <v>127.4</v>
      </c>
      <c r="G614" s="37">
        <v>127.4</v>
      </c>
      <c r="H614" s="37">
        <v>127.4</v>
      </c>
    </row>
    <row r="615" spans="1:8" s="196" customFormat="1" ht="12" x14ac:dyDescent="0.2">
      <c r="A615" s="29" t="s">
        <v>438</v>
      </c>
      <c r="B615" s="30" t="s">
        <v>375</v>
      </c>
      <c r="C615" s="30" t="s">
        <v>283</v>
      </c>
      <c r="D615" s="30"/>
      <c r="E615" s="30"/>
      <c r="F615" s="31">
        <f>F616+F621</f>
        <v>231735.7</v>
      </c>
      <c r="G615" s="31">
        <f>G616+G621</f>
        <v>211330.7</v>
      </c>
      <c r="H615" s="31">
        <f>H616+H621</f>
        <v>211330.7</v>
      </c>
    </row>
    <row r="616" spans="1:8" s="196" customFormat="1" ht="12" x14ac:dyDescent="0.2">
      <c r="A616" s="39" t="s">
        <v>673</v>
      </c>
      <c r="B616" s="40" t="s">
        <v>375</v>
      </c>
      <c r="C616" s="40" t="s">
        <v>283</v>
      </c>
      <c r="D616" s="40" t="s">
        <v>674</v>
      </c>
      <c r="E616" s="49"/>
      <c r="F616" s="41">
        <f t="shared" ref="F616:H619" si="174">F617</f>
        <v>113489.8</v>
      </c>
      <c r="G616" s="41">
        <f t="shared" si="174"/>
        <v>109284.8</v>
      </c>
      <c r="H616" s="41">
        <f t="shared" si="174"/>
        <v>109284.8</v>
      </c>
    </row>
    <row r="617" spans="1:8" s="196" customFormat="1" ht="12" x14ac:dyDescent="0.2">
      <c r="A617" s="29" t="s">
        <v>675</v>
      </c>
      <c r="B617" s="30" t="s">
        <v>375</v>
      </c>
      <c r="C617" s="30" t="s">
        <v>283</v>
      </c>
      <c r="D617" s="30" t="s">
        <v>676</v>
      </c>
      <c r="E617" s="36"/>
      <c r="F617" s="31">
        <f t="shared" si="174"/>
        <v>113489.8</v>
      </c>
      <c r="G617" s="31">
        <f t="shared" si="174"/>
        <v>109284.8</v>
      </c>
      <c r="H617" s="31">
        <f t="shared" si="174"/>
        <v>109284.8</v>
      </c>
    </row>
    <row r="618" spans="1:8" s="196" customFormat="1" ht="12" x14ac:dyDescent="0.2">
      <c r="A618" s="39" t="s">
        <v>706</v>
      </c>
      <c r="B618" s="40" t="s">
        <v>375</v>
      </c>
      <c r="C618" s="40" t="s">
        <v>283</v>
      </c>
      <c r="D618" s="40" t="s">
        <v>707</v>
      </c>
      <c r="E618" s="40"/>
      <c r="F618" s="41">
        <f t="shared" si="174"/>
        <v>113489.8</v>
      </c>
      <c r="G618" s="41">
        <f t="shared" si="174"/>
        <v>109284.8</v>
      </c>
      <c r="H618" s="41">
        <f t="shared" si="174"/>
        <v>109284.8</v>
      </c>
    </row>
    <row r="619" spans="1:8" s="196" customFormat="1" ht="12" x14ac:dyDescent="0.2">
      <c r="A619" s="35" t="s">
        <v>356</v>
      </c>
      <c r="B619" s="36" t="s">
        <v>375</v>
      </c>
      <c r="C619" s="36" t="s">
        <v>283</v>
      </c>
      <c r="D619" s="36" t="s">
        <v>707</v>
      </c>
      <c r="E619" s="36" t="s">
        <v>357</v>
      </c>
      <c r="F619" s="37">
        <f>F620</f>
        <v>113489.8</v>
      </c>
      <c r="G619" s="37">
        <f t="shared" si="174"/>
        <v>109284.8</v>
      </c>
      <c r="H619" s="37">
        <f t="shared" si="174"/>
        <v>109284.8</v>
      </c>
    </row>
    <row r="620" spans="1:8" s="196" customFormat="1" ht="12" x14ac:dyDescent="0.2">
      <c r="A620" s="35" t="s">
        <v>383</v>
      </c>
      <c r="B620" s="36" t="s">
        <v>375</v>
      </c>
      <c r="C620" s="36" t="s">
        <v>283</v>
      </c>
      <c r="D620" s="36" t="s">
        <v>707</v>
      </c>
      <c r="E620" s="36" t="s">
        <v>384</v>
      </c>
      <c r="F620" s="37">
        <f>109284.8-295+500+500+3500</f>
        <v>113489.8</v>
      </c>
      <c r="G620" s="37">
        <v>109284.8</v>
      </c>
      <c r="H620" s="37">
        <v>109284.8</v>
      </c>
    </row>
    <row r="621" spans="1:8" s="196" customFormat="1" ht="12" x14ac:dyDescent="0.2">
      <c r="A621" s="39" t="s">
        <v>439</v>
      </c>
      <c r="B621" s="40" t="s">
        <v>375</v>
      </c>
      <c r="C621" s="40" t="s">
        <v>283</v>
      </c>
      <c r="D621" s="40" t="s">
        <v>440</v>
      </c>
      <c r="E621" s="40"/>
      <c r="F621" s="41">
        <f t="shared" ref="F621:H625" si="175">F622</f>
        <v>118245.9</v>
      </c>
      <c r="G621" s="41">
        <f t="shared" si="175"/>
        <v>102045.9</v>
      </c>
      <c r="H621" s="41">
        <f t="shared" si="175"/>
        <v>102045.9</v>
      </c>
    </row>
    <row r="622" spans="1:8" s="196" customFormat="1" ht="12" x14ac:dyDescent="0.2">
      <c r="A622" s="29" t="s">
        <v>441</v>
      </c>
      <c r="B622" s="30" t="s">
        <v>375</v>
      </c>
      <c r="C622" s="30" t="s">
        <v>283</v>
      </c>
      <c r="D622" s="30" t="s">
        <v>442</v>
      </c>
      <c r="E622" s="30"/>
      <c r="F622" s="31">
        <f t="shared" si="175"/>
        <v>118245.9</v>
      </c>
      <c r="G622" s="31">
        <f t="shared" si="175"/>
        <v>102045.9</v>
      </c>
      <c r="H622" s="31">
        <f t="shared" si="175"/>
        <v>102045.9</v>
      </c>
    </row>
    <row r="623" spans="1:8" s="196" customFormat="1" ht="24" x14ac:dyDescent="0.2">
      <c r="A623" s="29" t="s">
        <v>443</v>
      </c>
      <c r="B623" s="30" t="s">
        <v>375</v>
      </c>
      <c r="C623" s="30" t="s">
        <v>283</v>
      </c>
      <c r="D623" s="30" t="s">
        <v>444</v>
      </c>
      <c r="E623" s="30"/>
      <c r="F623" s="31">
        <f t="shared" si="175"/>
        <v>118245.9</v>
      </c>
      <c r="G623" s="31">
        <f t="shared" si="175"/>
        <v>102045.9</v>
      </c>
      <c r="H623" s="31">
        <f t="shared" si="175"/>
        <v>102045.9</v>
      </c>
    </row>
    <row r="624" spans="1:8" s="196" customFormat="1" ht="24" x14ac:dyDescent="0.2">
      <c r="A624" s="52" t="s">
        <v>445</v>
      </c>
      <c r="B624" s="49" t="s">
        <v>375</v>
      </c>
      <c r="C624" s="49" t="s">
        <v>283</v>
      </c>
      <c r="D624" s="49" t="s">
        <v>444</v>
      </c>
      <c r="E624" s="49"/>
      <c r="F624" s="53">
        <f t="shared" si="175"/>
        <v>118245.9</v>
      </c>
      <c r="G624" s="53">
        <f t="shared" si="175"/>
        <v>102045.9</v>
      </c>
      <c r="H624" s="53">
        <f t="shared" si="175"/>
        <v>102045.9</v>
      </c>
    </row>
    <row r="625" spans="1:8" s="196" customFormat="1" ht="12" x14ac:dyDescent="0.2">
      <c r="A625" s="35" t="s">
        <v>356</v>
      </c>
      <c r="B625" s="36" t="s">
        <v>375</v>
      </c>
      <c r="C625" s="36" t="s">
        <v>283</v>
      </c>
      <c r="D625" s="36" t="s">
        <v>444</v>
      </c>
      <c r="E625" s="36" t="s">
        <v>357</v>
      </c>
      <c r="F625" s="37">
        <f t="shared" si="175"/>
        <v>118245.9</v>
      </c>
      <c r="G625" s="37">
        <f t="shared" si="175"/>
        <v>102045.9</v>
      </c>
      <c r="H625" s="37">
        <f t="shared" si="175"/>
        <v>102045.9</v>
      </c>
    </row>
    <row r="626" spans="1:8" s="196" customFormat="1" ht="12" x14ac:dyDescent="0.2">
      <c r="A626" s="35" t="s">
        <v>358</v>
      </c>
      <c r="B626" s="36" t="s">
        <v>375</v>
      </c>
      <c r="C626" s="36" t="s">
        <v>283</v>
      </c>
      <c r="D626" s="36" t="s">
        <v>444</v>
      </c>
      <c r="E626" s="36" t="s">
        <v>359</v>
      </c>
      <c r="F626" s="37">
        <f>102045.9+15500+700</f>
        <v>118245.9</v>
      </c>
      <c r="G626" s="37">
        <v>102045.9</v>
      </c>
      <c r="H626" s="37">
        <v>102045.9</v>
      </c>
    </row>
    <row r="627" spans="1:8" s="196" customFormat="1" ht="12" x14ac:dyDescent="0.2">
      <c r="A627" s="29" t="s">
        <v>376</v>
      </c>
      <c r="B627" s="30" t="s">
        <v>375</v>
      </c>
      <c r="C627" s="30" t="s">
        <v>375</v>
      </c>
      <c r="D627" s="30"/>
      <c r="E627" s="30"/>
      <c r="F627" s="31">
        <f>F628+F633</f>
        <v>4326.2</v>
      </c>
      <c r="G627" s="31">
        <f>G628+G633</f>
        <v>2000</v>
      </c>
      <c r="H627" s="31">
        <f>H628+H633</f>
        <v>2000</v>
      </c>
    </row>
    <row r="628" spans="1:8" s="196" customFormat="1" ht="12" x14ac:dyDescent="0.2">
      <c r="A628" s="39" t="s">
        <v>673</v>
      </c>
      <c r="B628" s="40" t="s">
        <v>375</v>
      </c>
      <c r="C628" s="40" t="s">
        <v>375</v>
      </c>
      <c r="D628" s="40" t="s">
        <v>674</v>
      </c>
      <c r="E628" s="40"/>
      <c r="F628" s="41">
        <f>F629</f>
        <v>1031.2</v>
      </c>
      <c r="G628" s="47">
        <f t="shared" ref="G628:H631" si="176">G629</f>
        <v>0</v>
      </c>
      <c r="H628" s="47">
        <f t="shared" si="176"/>
        <v>0</v>
      </c>
    </row>
    <row r="629" spans="1:8" s="196" customFormat="1" ht="12" x14ac:dyDescent="0.2">
      <c r="A629" s="29" t="s">
        <v>675</v>
      </c>
      <c r="B629" s="30" t="s">
        <v>375</v>
      </c>
      <c r="C629" s="30" t="s">
        <v>375</v>
      </c>
      <c r="D629" s="30" t="s">
        <v>676</v>
      </c>
      <c r="E629" s="30"/>
      <c r="F629" s="31">
        <f>F630</f>
        <v>1031.2</v>
      </c>
      <c r="G629" s="45">
        <f t="shared" si="176"/>
        <v>0</v>
      </c>
      <c r="H629" s="45">
        <f t="shared" si="176"/>
        <v>0</v>
      </c>
    </row>
    <row r="630" spans="1:8" s="196" customFormat="1" ht="24" x14ac:dyDescent="0.2">
      <c r="A630" s="39" t="s">
        <v>708</v>
      </c>
      <c r="B630" s="40" t="s">
        <v>375</v>
      </c>
      <c r="C630" s="40" t="s">
        <v>375</v>
      </c>
      <c r="D630" s="40" t="s">
        <v>709</v>
      </c>
      <c r="E630" s="40"/>
      <c r="F630" s="41">
        <f>F631</f>
        <v>1031.2</v>
      </c>
      <c r="G630" s="47">
        <f t="shared" si="176"/>
        <v>0</v>
      </c>
      <c r="H630" s="47">
        <f t="shared" si="176"/>
        <v>0</v>
      </c>
    </row>
    <row r="631" spans="1:8" s="196" customFormat="1" ht="12" x14ac:dyDescent="0.2">
      <c r="A631" s="35" t="s">
        <v>356</v>
      </c>
      <c r="B631" s="36" t="s">
        <v>375</v>
      </c>
      <c r="C631" s="36" t="s">
        <v>375</v>
      </c>
      <c r="D631" s="36" t="s">
        <v>709</v>
      </c>
      <c r="E631" s="36" t="s">
        <v>357</v>
      </c>
      <c r="F631" s="37">
        <f>F632</f>
        <v>1031.2</v>
      </c>
      <c r="G631" s="46">
        <f t="shared" si="176"/>
        <v>0</v>
      </c>
      <c r="H631" s="46">
        <f t="shared" si="176"/>
        <v>0</v>
      </c>
    </row>
    <row r="632" spans="1:8" s="196" customFormat="1" ht="12" x14ac:dyDescent="0.2">
      <c r="A632" s="35" t="s">
        <v>358</v>
      </c>
      <c r="B632" s="36" t="s">
        <v>375</v>
      </c>
      <c r="C632" s="36" t="s">
        <v>375</v>
      </c>
      <c r="D632" s="36" t="s">
        <v>709</v>
      </c>
      <c r="E632" s="36" t="s">
        <v>359</v>
      </c>
      <c r="F632" s="37">
        <v>1031.2</v>
      </c>
      <c r="G632" s="46">
        <v>0</v>
      </c>
      <c r="H632" s="46">
        <v>0</v>
      </c>
    </row>
    <row r="633" spans="1:8" s="196" customFormat="1" ht="24" x14ac:dyDescent="0.2">
      <c r="A633" s="39" t="s">
        <v>377</v>
      </c>
      <c r="B633" s="40" t="s">
        <v>375</v>
      </c>
      <c r="C633" s="40" t="s">
        <v>375</v>
      </c>
      <c r="D633" s="40" t="s">
        <v>378</v>
      </c>
      <c r="E633" s="36"/>
      <c r="F633" s="31">
        <f t="shared" ref="F633:H636" si="177">F634</f>
        <v>3295</v>
      </c>
      <c r="G633" s="31">
        <f t="shared" si="177"/>
        <v>2000</v>
      </c>
      <c r="H633" s="31">
        <f t="shared" si="177"/>
        <v>2000</v>
      </c>
    </row>
    <row r="634" spans="1:8" s="196" customFormat="1" ht="12" x14ac:dyDescent="0.2">
      <c r="A634" s="50" t="s">
        <v>379</v>
      </c>
      <c r="B634" s="30" t="s">
        <v>375</v>
      </c>
      <c r="C634" s="30" t="s">
        <v>375</v>
      </c>
      <c r="D634" s="30" t="s">
        <v>380</v>
      </c>
      <c r="E634" s="30"/>
      <c r="F634" s="31">
        <f t="shared" si="177"/>
        <v>3295</v>
      </c>
      <c r="G634" s="31">
        <f t="shared" si="177"/>
        <v>2000</v>
      </c>
      <c r="H634" s="31">
        <f t="shared" si="177"/>
        <v>2000</v>
      </c>
    </row>
    <row r="635" spans="1:8" s="196" customFormat="1" ht="12" x14ac:dyDescent="0.2">
      <c r="A635" s="39" t="s">
        <v>381</v>
      </c>
      <c r="B635" s="40" t="s">
        <v>375</v>
      </c>
      <c r="C635" s="40" t="s">
        <v>375</v>
      </c>
      <c r="D635" s="40" t="s">
        <v>382</v>
      </c>
      <c r="E635" s="40"/>
      <c r="F635" s="41">
        <f t="shared" si="177"/>
        <v>3295</v>
      </c>
      <c r="G635" s="41">
        <f>G636</f>
        <v>2000</v>
      </c>
      <c r="H635" s="41">
        <f t="shared" si="177"/>
        <v>2000</v>
      </c>
    </row>
    <row r="636" spans="1:8" s="196" customFormat="1" ht="12" x14ac:dyDescent="0.2">
      <c r="A636" s="35" t="s">
        <v>356</v>
      </c>
      <c r="B636" s="36" t="s">
        <v>375</v>
      </c>
      <c r="C636" s="36" t="s">
        <v>375</v>
      </c>
      <c r="D636" s="36" t="s">
        <v>382</v>
      </c>
      <c r="E636" s="36" t="s">
        <v>357</v>
      </c>
      <c r="F636" s="37">
        <f t="shared" si="177"/>
        <v>3295</v>
      </c>
      <c r="G636" s="37">
        <f t="shared" si="177"/>
        <v>2000</v>
      </c>
      <c r="H636" s="37">
        <f t="shared" si="177"/>
        <v>2000</v>
      </c>
    </row>
    <row r="637" spans="1:8" s="196" customFormat="1" ht="12" x14ac:dyDescent="0.2">
      <c r="A637" s="35" t="s">
        <v>383</v>
      </c>
      <c r="B637" s="36" t="s">
        <v>375</v>
      </c>
      <c r="C637" s="36" t="s">
        <v>375</v>
      </c>
      <c r="D637" s="36" t="s">
        <v>382</v>
      </c>
      <c r="E637" s="36" t="s">
        <v>384</v>
      </c>
      <c r="F637" s="37">
        <f>3000+295</f>
        <v>3295</v>
      </c>
      <c r="G637" s="37">
        <f>3000-1000</f>
        <v>2000</v>
      </c>
      <c r="H637" s="37">
        <f>3000-1000</f>
        <v>2000</v>
      </c>
    </row>
    <row r="638" spans="1:8" s="196" customFormat="1" ht="12" x14ac:dyDescent="0.2">
      <c r="A638" s="29" t="s">
        <v>569</v>
      </c>
      <c r="B638" s="30" t="s">
        <v>375</v>
      </c>
      <c r="C638" s="30" t="s">
        <v>412</v>
      </c>
      <c r="D638" s="30"/>
      <c r="E638" s="36"/>
      <c r="F638" s="31">
        <f>F639+F681+F693</f>
        <v>247761.72271000003</v>
      </c>
      <c r="G638" s="31">
        <f>G639+G681+G693</f>
        <v>207351.7</v>
      </c>
      <c r="H638" s="31">
        <f>H639+H681+H693</f>
        <v>233891.7</v>
      </c>
    </row>
    <row r="639" spans="1:8" s="196" customFormat="1" ht="12" x14ac:dyDescent="0.2">
      <c r="A639" s="39" t="s">
        <v>673</v>
      </c>
      <c r="B639" s="40" t="s">
        <v>375</v>
      </c>
      <c r="C639" s="40" t="s">
        <v>412</v>
      </c>
      <c r="D639" s="40" t="s">
        <v>674</v>
      </c>
      <c r="E639" s="36"/>
      <c r="F639" s="41">
        <f>F640+F649+F670</f>
        <v>163751.18000000002</v>
      </c>
      <c r="G639" s="41">
        <f>G640+G649+G670</f>
        <v>116601.70000000001</v>
      </c>
      <c r="H639" s="41">
        <f>H640+H649+H670</f>
        <v>116601.70000000001</v>
      </c>
    </row>
    <row r="640" spans="1:8" s="196" customFormat="1" ht="12" x14ac:dyDescent="0.2">
      <c r="A640" s="29" t="s">
        <v>675</v>
      </c>
      <c r="B640" s="30" t="s">
        <v>375</v>
      </c>
      <c r="C640" s="30" t="s">
        <v>412</v>
      </c>
      <c r="D640" s="30" t="s">
        <v>676</v>
      </c>
      <c r="E640" s="30"/>
      <c r="F640" s="31">
        <f>F641+F645</f>
        <v>137431.40000000002</v>
      </c>
      <c r="G640" s="31">
        <f>G641+G645</f>
        <v>94338.400000000009</v>
      </c>
      <c r="H640" s="31">
        <f>H641+H645</f>
        <v>94338.400000000009</v>
      </c>
    </row>
    <row r="641" spans="1:8" s="196" customFormat="1" ht="12" x14ac:dyDescent="0.2">
      <c r="A641" s="39" t="s">
        <v>710</v>
      </c>
      <c r="B641" s="40" t="s">
        <v>375</v>
      </c>
      <c r="C641" s="40" t="s">
        <v>412</v>
      </c>
      <c r="D641" s="40" t="s">
        <v>711</v>
      </c>
      <c r="E641" s="40"/>
      <c r="F641" s="41">
        <f t="shared" ref="F641:H641" si="178">F642</f>
        <v>35500</v>
      </c>
      <c r="G641" s="41">
        <f t="shared" si="178"/>
        <v>4407</v>
      </c>
      <c r="H641" s="41">
        <f t="shared" si="178"/>
        <v>4407</v>
      </c>
    </row>
    <row r="642" spans="1:8" s="196" customFormat="1" ht="12" x14ac:dyDescent="0.2">
      <c r="A642" s="35" t="s">
        <v>356</v>
      </c>
      <c r="B642" s="36" t="s">
        <v>375</v>
      </c>
      <c r="C642" s="36" t="s">
        <v>412</v>
      </c>
      <c r="D642" s="36" t="s">
        <v>711</v>
      </c>
      <c r="E642" s="36" t="s">
        <v>357</v>
      </c>
      <c r="F642" s="37">
        <f>F643+F644</f>
        <v>35500</v>
      </c>
      <c r="G642" s="37">
        <f>G643+G644</f>
        <v>4407</v>
      </c>
      <c r="H642" s="37">
        <f>H643+H644</f>
        <v>4407</v>
      </c>
    </row>
    <row r="643" spans="1:8" s="196" customFormat="1" ht="12" x14ac:dyDescent="0.2">
      <c r="A643" s="35" t="s">
        <v>358</v>
      </c>
      <c r="B643" s="36" t="s">
        <v>375</v>
      </c>
      <c r="C643" s="36" t="s">
        <v>412</v>
      </c>
      <c r="D643" s="36" t="s">
        <v>711</v>
      </c>
      <c r="E643" s="36" t="s">
        <v>359</v>
      </c>
      <c r="F643" s="37">
        <f>4382.5+5593+37000-22000+6000</f>
        <v>30975.5</v>
      </c>
      <c r="G643" s="37">
        <v>4382.5</v>
      </c>
      <c r="H643" s="37">
        <v>4382.5</v>
      </c>
    </row>
    <row r="644" spans="1:8" s="196" customFormat="1" ht="12" x14ac:dyDescent="0.2">
      <c r="A644" s="35" t="s">
        <v>383</v>
      </c>
      <c r="B644" s="36" t="s">
        <v>375</v>
      </c>
      <c r="C644" s="36" t="s">
        <v>412</v>
      </c>
      <c r="D644" s="36" t="s">
        <v>711</v>
      </c>
      <c r="E644" s="36" t="s">
        <v>384</v>
      </c>
      <c r="F644" s="37">
        <f>24.5+500+4000</f>
        <v>4524.5</v>
      </c>
      <c r="G644" s="37">
        <v>24.5</v>
      </c>
      <c r="H644" s="37">
        <v>24.5</v>
      </c>
    </row>
    <row r="645" spans="1:8" s="196" customFormat="1" ht="12" x14ac:dyDescent="0.2">
      <c r="A645" s="39" t="s">
        <v>712</v>
      </c>
      <c r="B645" s="49" t="s">
        <v>375</v>
      </c>
      <c r="C645" s="49" t="s">
        <v>412</v>
      </c>
      <c r="D645" s="40" t="s">
        <v>713</v>
      </c>
      <c r="E645" s="40"/>
      <c r="F645" s="41">
        <f>F646</f>
        <v>101931.40000000001</v>
      </c>
      <c r="G645" s="41">
        <f>G646</f>
        <v>89931.400000000009</v>
      </c>
      <c r="H645" s="41">
        <f>H646</f>
        <v>89931.400000000009</v>
      </c>
    </row>
    <row r="646" spans="1:8" s="196" customFormat="1" ht="12" x14ac:dyDescent="0.2">
      <c r="A646" s="35" t="s">
        <v>356</v>
      </c>
      <c r="B646" s="36" t="s">
        <v>375</v>
      </c>
      <c r="C646" s="36" t="s">
        <v>412</v>
      </c>
      <c r="D646" s="36" t="s">
        <v>713</v>
      </c>
      <c r="E646" s="36" t="s">
        <v>357</v>
      </c>
      <c r="F646" s="37">
        <f>F647+F648</f>
        <v>101931.40000000001</v>
      </c>
      <c r="G646" s="37">
        <f>G647+G648</f>
        <v>89931.400000000009</v>
      </c>
      <c r="H646" s="37">
        <f>H647+H648</f>
        <v>89931.400000000009</v>
      </c>
    </row>
    <row r="647" spans="1:8" s="196" customFormat="1" ht="12" x14ac:dyDescent="0.2">
      <c r="A647" s="35" t="s">
        <v>358</v>
      </c>
      <c r="B647" s="36" t="s">
        <v>375</v>
      </c>
      <c r="C647" s="36" t="s">
        <v>412</v>
      </c>
      <c r="D647" s="36" t="s">
        <v>713</v>
      </c>
      <c r="E647" s="36" t="s">
        <v>359</v>
      </c>
      <c r="F647" s="37">
        <f>81596.6+10000+1475.098</f>
        <v>93071.698000000004</v>
      </c>
      <c r="G647" s="37">
        <v>81596.600000000006</v>
      </c>
      <c r="H647" s="37">
        <v>81596.600000000006</v>
      </c>
    </row>
    <row r="648" spans="1:8" s="196" customFormat="1" ht="12" x14ac:dyDescent="0.2">
      <c r="A648" s="35" t="s">
        <v>383</v>
      </c>
      <c r="B648" s="36" t="s">
        <v>375</v>
      </c>
      <c r="C648" s="36" t="s">
        <v>412</v>
      </c>
      <c r="D648" s="36" t="s">
        <v>713</v>
      </c>
      <c r="E648" s="36" t="s">
        <v>384</v>
      </c>
      <c r="F648" s="37">
        <f>8334.8+524.902</f>
        <v>8859.7019999999993</v>
      </c>
      <c r="G648" s="37">
        <v>8334.7999999999993</v>
      </c>
      <c r="H648" s="37">
        <v>8334.7999999999993</v>
      </c>
    </row>
    <row r="649" spans="1:8" s="196" customFormat="1" ht="12" x14ac:dyDescent="0.2">
      <c r="A649" s="29" t="s">
        <v>714</v>
      </c>
      <c r="B649" s="30" t="s">
        <v>375</v>
      </c>
      <c r="C649" s="30" t="s">
        <v>412</v>
      </c>
      <c r="D649" s="30" t="s">
        <v>715</v>
      </c>
      <c r="E649" s="30"/>
      <c r="F649" s="31">
        <f>F650+F658+F663</f>
        <v>8598.2870000000003</v>
      </c>
      <c r="G649" s="31">
        <f>G650+G658+G663</f>
        <v>7709.8</v>
      </c>
      <c r="H649" s="31">
        <f>H650+H658+H663</f>
        <v>7709.8</v>
      </c>
    </row>
    <row r="650" spans="1:8" s="196" customFormat="1" ht="12.75" customHeight="1" x14ac:dyDescent="0.2">
      <c r="A650" s="50" t="s">
        <v>716</v>
      </c>
      <c r="B650" s="30" t="s">
        <v>375</v>
      </c>
      <c r="C650" s="30" t="s">
        <v>412</v>
      </c>
      <c r="D650" s="30" t="s">
        <v>717</v>
      </c>
      <c r="E650" s="40"/>
      <c r="F650" s="31">
        <f>F651</f>
        <v>5948.2870000000003</v>
      </c>
      <c r="G650" s="31">
        <f>G651</f>
        <v>5279.8</v>
      </c>
      <c r="H650" s="31">
        <f>H651</f>
        <v>5279.8</v>
      </c>
    </row>
    <row r="651" spans="1:8" s="196" customFormat="1" ht="12" x14ac:dyDescent="0.2">
      <c r="A651" s="52" t="s">
        <v>263</v>
      </c>
      <c r="B651" s="49" t="s">
        <v>375</v>
      </c>
      <c r="C651" s="49" t="s">
        <v>412</v>
      </c>
      <c r="D651" s="49" t="s">
        <v>718</v>
      </c>
      <c r="E651" s="49"/>
      <c r="F651" s="53">
        <f>F652+F654+F656</f>
        <v>5948.2870000000003</v>
      </c>
      <c r="G651" s="53">
        <f>G652+G654+G656</f>
        <v>5279.8</v>
      </c>
      <c r="H651" s="53">
        <f>H652+H654+H656</f>
        <v>5279.8</v>
      </c>
    </row>
    <row r="652" spans="1:8" s="196" customFormat="1" ht="24" x14ac:dyDescent="0.2">
      <c r="A652" s="35" t="s">
        <v>185</v>
      </c>
      <c r="B652" s="36" t="s">
        <v>375</v>
      </c>
      <c r="C652" s="36" t="s">
        <v>412</v>
      </c>
      <c r="D652" s="36" t="s">
        <v>718</v>
      </c>
      <c r="E652" s="36" t="s">
        <v>186</v>
      </c>
      <c r="F652" s="37">
        <f>F653</f>
        <v>5843.2870000000003</v>
      </c>
      <c r="G652" s="37">
        <f>G653</f>
        <v>5174.8</v>
      </c>
      <c r="H652" s="37">
        <f>H653</f>
        <v>5174.8</v>
      </c>
    </row>
    <row r="653" spans="1:8" s="196" customFormat="1" ht="12" x14ac:dyDescent="0.2">
      <c r="A653" s="35" t="s">
        <v>266</v>
      </c>
      <c r="B653" s="36" t="s">
        <v>375</v>
      </c>
      <c r="C653" s="36" t="s">
        <v>412</v>
      </c>
      <c r="D653" s="36" t="s">
        <v>718</v>
      </c>
      <c r="E653" s="36" t="s">
        <v>267</v>
      </c>
      <c r="F653" s="37">
        <f>3974.5+1200.3+668.487</f>
        <v>5843.2870000000003</v>
      </c>
      <c r="G653" s="37">
        <f>3974.5+1200.3</f>
        <v>5174.8</v>
      </c>
      <c r="H653" s="37">
        <f>3974.5+1200.3</f>
        <v>5174.8</v>
      </c>
    </row>
    <row r="654" spans="1:8" s="196" customFormat="1" ht="12" x14ac:dyDescent="0.2">
      <c r="A654" s="35" t="s">
        <v>195</v>
      </c>
      <c r="B654" s="36" t="s">
        <v>375</v>
      </c>
      <c r="C654" s="36" t="s">
        <v>412</v>
      </c>
      <c r="D654" s="36" t="s">
        <v>718</v>
      </c>
      <c r="E654" s="36" t="s">
        <v>196</v>
      </c>
      <c r="F654" s="37">
        <f>F655</f>
        <v>100</v>
      </c>
      <c r="G654" s="37">
        <f>G655</f>
        <v>100</v>
      </c>
      <c r="H654" s="37">
        <f>H655</f>
        <v>100</v>
      </c>
    </row>
    <row r="655" spans="1:8" s="196" customFormat="1" ht="12" x14ac:dyDescent="0.2">
      <c r="A655" s="35" t="s">
        <v>197</v>
      </c>
      <c r="B655" s="36" t="s">
        <v>375</v>
      </c>
      <c r="C655" s="36" t="s">
        <v>412</v>
      </c>
      <c r="D655" s="36" t="s">
        <v>718</v>
      </c>
      <c r="E655" s="36" t="s">
        <v>198</v>
      </c>
      <c r="F655" s="37">
        <v>100</v>
      </c>
      <c r="G655" s="37">
        <v>100</v>
      </c>
      <c r="H655" s="37">
        <v>100</v>
      </c>
    </row>
    <row r="656" spans="1:8" s="196" customFormat="1" ht="12" x14ac:dyDescent="0.2">
      <c r="A656" s="35" t="s">
        <v>199</v>
      </c>
      <c r="B656" s="36" t="s">
        <v>375</v>
      </c>
      <c r="C656" s="36" t="s">
        <v>412</v>
      </c>
      <c r="D656" s="36" t="s">
        <v>718</v>
      </c>
      <c r="E656" s="36" t="s">
        <v>200</v>
      </c>
      <c r="F656" s="213">
        <f>F657</f>
        <v>5</v>
      </c>
      <c r="G656" s="213">
        <f>G657</f>
        <v>5</v>
      </c>
      <c r="H656" s="213">
        <f>H657</f>
        <v>5</v>
      </c>
    </row>
    <row r="657" spans="1:8" s="196" customFormat="1" ht="12" x14ac:dyDescent="0.2">
      <c r="A657" s="35" t="s">
        <v>201</v>
      </c>
      <c r="B657" s="36" t="s">
        <v>375</v>
      </c>
      <c r="C657" s="36" t="s">
        <v>412</v>
      </c>
      <c r="D657" s="36" t="s">
        <v>718</v>
      </c>
      <c r="E657" s="36" t="s">
        <v>202</v>
      </c>
      <c r="F657" s="213">
        <v>5</v>
      </c>
      <c r="G657" s="213">
        <v>5</v>
      </c>
      <c r="H657" s="213">
        <v>5</v>
      </c>
    </row>
    <row r="658" spans="1:8" s="196" customFormat="1" ht="24" x14ac:dyDescent="0.2">
      <c r="A658" s="42" t="s">
        <v>719</v>
      </c>
      <c r="B658" s="40" t="s">
        <v>375</v>
      </c>
      <c r="C658" s="40" t="s">
        <v>412</v>
      </c>
      <c r="D658" s="40" t="s">
        <v>720</v>
      </c>
      <c r="E658" s="40"/>
      <c r="F658" s="41">
        <f>F659+F661</f>
        <v>1050</v>
      </c>
      <c r="G658" s="41">
        <f>G659+G661</f>
        <v>1830</v>
      </c>
      <c r="H658" s="41">
        <f>H659+H661</f>
        <v>1830</v>
      </c>
    </row>
    <row r="659" spans="1:8" s="196" customFormat="1" ht="24" x14ac:dyDescent="0.2">
      <c r="A659" s="35" t="s">
        <v>185</v>
      </c>
      <c r="B659" s="36" t="s">
        <v>375</v>
      </c>
      <c r="C659" s="36" t="s">
        <v>412</v>
      </c>
      <c r="D659" s="36" t="s">
        <v>720</v>
      </c>
      <c r="E659" s="36" t="s">
        <v>186</v>
      </c>
      <c r="F659" s="37">
        <f>F660</f>
        <v>205</v>
      </c>
      <c r="G659" s="37">
        <f>G660</f>
        <v>205</v>
      </c>
      <c r="H659" s="37">
        <f>H660</f>
        <v>205</v>
      </c>
    </row>
    <row r="660" spans="1:8" s="196" customFormat="1" ht="12" x14ac:dyDescent="0.2">
      <c r="A660" s="35" t="s">
        <v>266</v>
      </c>
      <c r="B660" s="36" t="s">
        <v>375</v>
      </c>
      <c r="C660" s="36" t="s">
        <v>412</v>
      </c>
      <c r="D660" s="36" t="s">
        <v>720</v>
      </c>
      <c r="E660" s="36" t="s">
        <v>267</v>
      </c>
      <c r="F660" s="37">
        <v>205</v>
      </c>
      <c r="G660" s="37">
        <v>205</v>
      </c>
      <c r="H660" s="37">
        <v>205</v>
      </c>
    </row>
    <row r="661" spans="1:8" s="196" customFormat="1" ht="12" x14ac:dyDescent="0.2">
      <c r="A661" s="35" t="s">
        <v>195</v>
      </c>
      <c r="B661" s="36" t="s">
        <v>375</v>
      </c>
      <c r="C661" s="36" t="s">
        <v>412</v>
      </c>
      <c r="D661" s="36" t="s">
        <v>720</v>
      </c>
      <c r="E661" s="36" t="s">
        <v>196</v>
      </c>
      <c r="F661" s="37">
        <f>F662</f>
        <v>845</v>
      </c>
      <c r="G661" s="37">
        <f>G662</f>
        <v>1625</v>
      </c>
      <c r="H661" s="37">
        <f>H662</f>
        <v>1625</v>
      </c>
    </row>
    <row r="662" spans="1:8" s="196" customFormat="1" ht="12" x14ac:dyDescent="0.2">
      <c r="A662" s="35" t="s">
        <v>197</v>
      </c>
      <c r="B662" s="36" t="s">
        <v>375</v>
      </c>
      <c r="C662" s="36" t="s">
        <v>412</v>
      </c>
      <c r="D662" s="36" t="s">
        <v>720</v>
      </c>
      <c r="E662" s="36" t="s">
        <v>198</v>
      </c>
      <c r="F662" s="37">
        <f>1625-350-100+70-400</f>
        <v>845</v>
      </c>
      <c r="G662" s="37">
        <v>1625</v>
      </c>
      <c r="H662" s="37">
        <v>1625</v>
      </c>
    </row>
    <row r="663" spans="1:8" s="196" customFormat="1" ht="36" x14ac:dyDescent="0.2">
      <c r="A663" s="42" t="s">
        <v>721</v>
      </c>
      <c r="B663" s="40" t="s">
        <v>375</v>
      </c>
      <c r="C663" s="40" t="s">
        <v>412</v>
      </c>
      <c r="D663" s="40" t="s">
        <v>722</v>
      </c>
      <c r="E663" s="40"/>
      <c r="F663" s="41">
        <f>F664+F666+F668</f>
        <v>1600</v>
      </c>
      <c r="G663" s="41">
        <f>G664+G666+G668</f>
        <v>600</v>
      </c>
      <c r="H663" s="41">
        <f>H664+H666+H668</f>
        <v>600</v>
      </c>
    </row>
    <row r="664" spans="1:8" s="196" customFormat="1" ht="24" x14ac:dyDescent="0.2">
      <c r="A664" s="35" t="s">
        <v>185</v>
      </c>
      <c r="B664" s="36" t="s">
        <v>375</v>
      </c>
      <c r="C664" s="36" t="s">
        <v>412</v>
      </c>
      <c r="D664" s="36" t="s">
        <v>722</v>
      </c>
      <c r="E664" s="36" t="s">
        <v>186</v>
      </c>
      <c r="F664" s="37">
        <f>F665</f>
        <v>50</v>
      </c>
      <c r="G664" s="37">
        <f>G665</f>
        <v>50</v>
      </c>
      <c r="H664" s="37">
        <f>H665</f>
        <v>50</v>
      </c>
    </row>
    <row r="665" spans="1:8" s="196" customFormat="1" ht="12" x14ac:dyDescent="0.2">
      <c r="A665" s="35" t="s">
        <v>266</v>
      </c>
      <c r="B665" s="36" t="s">
        <v>375</v>
      </c>
      <c r="C665" s="36" t="s">
        <v>412</v>
      </c>
      <c r="D665" s="36" t="s">
        <v>722</v>
      </c>
      <c r="E665" s="36" t="s">
        <v>267</v>
      </c>
      <c r="F665" s="37">
        <v>50</v>
      </c>
      <c r="G665" s="37">
        <v>50</v>
      </c>
      <c r="H665" s="37">
        <v>50</v>
      </c>
    </row>
    <row r="666" spans="1:8" s="196" customFormat="1" ht="12" x14ac:dyDescent="0.2">
      <c r="A666" s="35" t="s">
        <v>195</v>
      </c>
      <c r="B666" s="36" t="s">
        <v>375</v>
      </c>
      <c r="C666" s="36" t="s">
        <v>412</v>
      </c>
      <c r="D666" s="36" t="s">
        <v>722</v>
      </c>
      <c r="E666" s="36" t="s">
        <v>196</v>
      </c>
      <c r="F666" s="37">
        <f>F667</f>
        <v>1180</v>
      </c>
      <c r="G666" s="37">
        <f>G667</f>
        <v>280</v>
      </c>
      <c r="H666" s="37">
        <f>H667</f>
        <v>280</v>
      </c>
    </row>
    <row r="667" spans="1:8" s="196" customFormat="1" ht="12" x14ac:dyDescent="0.2">
      <c r="A667" s="35" t="s">
        <v>197</v>
      </c>
      <c r="B667" s="36" t="s">
        <v>375</v>
      </c>
      <c r="C667" s="36" t="s">
        <v>412</v>
      </c>
      <c r="D667" s="36" t="s">
        <v>722</v>
      </c>
      <c r="E667" s="36" t="s">
        <v>198</v>
      </c>
      <c r="F667" s="37">
        <f>280+350+150+400</f>
        <v>1180</v>
      </c>
      <c r="G667" s="37">
        <v>280</v>
      </c>
      <c r="H667" s="37">
        <v>280</v>
      </c>
    </row>
    <row r="668" spans="1:8" s="196" customFormat="1" ht="12" x14ac:dyDescent="0.2">
      <c r="A668" s="35" t="s">
        <v>325</v>
      </c>
      <c r="B668" s="36" t="s">
        <v>375</v>
      </c>
      <c r="C668" s="36" t="s">
        <v>412</v>
      </c>
      <c r="D668" s="36" t="s">
        <v>722</v>
      </c>
      <c r="E668" s="36" t="s">
        <v>326</v>
      </c>
      <c r="F668" s="37">
        <f>F669</f>
        <v>370</v>
      </c>
      <c r="G668" s="37">
        <f>G669</f>
        <v>270</v>
      </c>
      <c r="H668" s="37">
        <f>H669</f>
        <v>270</v>
      </c>
    </row>
    <row r="669" spans="1:8" s="196" customFormat="1" ht="12" x14ac:dyDescent="0.2">
      <c r="A669" s="35" t="s">
        <v>723</v>
      </c>
      <c r="B669" s="36" t="s">
        <v>375</v>
      </c>
      <c r="C669" s="36" t="s">
        <v>412</v>
      </c>
      <c r="D669" s="36" t="s">
        <v>722</v>
      </c>
      <c r="E669" s="36" t="s">
        <v>724</v>
      </c>
      <c r="F669" s="37">
        <f>270+100</f>
        <v>370</v>
      </c>
      <c r="G669" s="37">
        <v>270</v>
      </c>
      <c r="H669" s="37">
        <v>270</v>
      </c>
    </row>
    <row r="670" spans="1:8" s="196" customFormat="1" ht="24" x14ac:dyDescent="0.2">
      <c r="A670" s="50" t="s">
        <v>725</v>
      </c>
      <c r="B670" s="30" t="s">
        <v>375</v>
      </c>
      <c r="C670" s="30" t="s">
        <v>412</v>
      </c>
      <c r="D670" s="30" t="s">
        <v>726</v>
      </c>
      <c r="E670" s="30"/>
      <c r="F670" s="31">
        <f t="shared" ref="F670:H671" si="179">F671</f>
        <v>17721.492999999999</v>
      </c>
      <c r="G670" s="31">
        <f t="shared" si="179"/>
        <v>14553.5</v>
      </c>
      <c r="H670" s="31">
        <f t="shared" si="179"/>
        <v>14553.5</v>
      </c>
    </row>
    <row r="671" spans="1:8" s="196" customFormat="1" ht="12" x14ac:dyDescent="0.2">
      <c r="A671" s="50" t="s">
        <v>727</v>
      </c>
      <c r="B671" s="30" t="s">
        <v>375</v>
      </c>
      <c r="C671" s="30" t="s">
        <v>412</v>
      </c>
      <c r="D671" s="30" t="s">
        <v>726</v>
      </c>
      <c r="E671" s="30"/>
      <c r="F671" s="31">
        <f t="shared" si="179"/>
        <v>17721.492999999999</v>
      </c>
      <c r="G671" s="31">
        <f t="shared" si="179"/>
        <v>14553.5</v>
      </c>
      <c r="H671" s="31">
        <f t="shared" si="179"/>
        <v>14553.5</v>
      </c>
    </row>
    <row r="672" spans="1:8" s="196" customFormat="1" ht="24" x14ac:dyDescent="0.2">
      <c r="A672" s="39" t="s">
        <v>728</v>
      </c>
      <c r="B672" s="40" t="s">
        <v>375</v>
      </c>
      <c r="C672" s="40" t="s">
        <v>412</v>
      </c>
      <c r="D672" s="40" t="s">
        <v>726</v>
      </c>
      <c r="E672" s="40"/>
      <c r="F672" s="41">
        <f>F673+F676</f>
        <v>17721.492999999999</v>
      </c>
      <c r="G672" s="41">
        <f>G673+G676</f>
        <v>14553.5</v>
      </c>
      <c r="H672" s="41">
        <f>H673+H676</f>
        <v>14553.5</v>
      </c>
    </row>
    <row r="673" spans="1:8" s="196" customFormat="1" ht="12" x14ac:dyDescent="0.2">
      <c r="A673" s="29" t="s">
        <v>492</v>
      </c>
      <c r="B673" s="30" t="s">
        <v>375</v>
      </c>
      <c r="C673" s="30" t="s">
        <v>412</v>
      </c>
      <c r="D673" s="30" t="s">
        <v>729</v>
      </c>
      <c r="E673" s="30"/>
      <c r="F673" s="31">
        <f t="shared" ref="F673:H674" si="180">F674</f>
        <v>17092.489999999998</v>
      </c>
      <c r="G673" s="31">
        <f t="shared" si="180"/>
        <v>14008.5</v>
      </c>
      <c r="H673" s="31">
        <f t="shared" si="180"/>
        <v>14008.5</v>
      </c>
    </row>
    <row r="674" spans="1:8" s="196" customFormat="1" ht="24" x14ac:dyDescent="0.2">
      <c r="A674" s="35" t="s">
        <v>185</v>
      </c>
      <c r="B674" s="36" t="s">
        <v>375</v>
      </c>
      <c r="C674" s="36" t="s">
        <v>412</v>
      </c>
      <c r="D674" s="36" t="s">
        <v>729</v>
      </c>
      <c r="E674" s="36" t="s">
        <v>186</v>
      </c>
      <c r="F674" s="37">
        <f t="shared" si="180"/>
        <v>17092.489999999998</v>
      </c>
      <c r="G674" s="37">
        <f t="shared" si="180"/>
        <v>14008.5</v>
      </c>
      <c r="H674" s="37">
        <f t="shared" si="180"/>
        <v>14008.5</v>
      </c>
    </row>
    <row r="675" spans="1:8" s="196" customFormat="1" ht="12" x14ac:dyDescent="0.2">
      <c r="A675" s="35" t="s">
        <v>187</v>
      </c>
      <c r="B675" s="36" t="s">
        <v>375</v>
      </c>
      <c r="C675" s="36" t="s">
        <v>412</v>
      </c>
      <c r="D675" s="36" t="s">
        <v>729</v>
      </c>
      <c r="E675" s="36" t="s">
        <v>188</v>
      </c>
      <c r="F675" s="37">
        <f>14008.5+3083.99</f>
        <v>17092.489999999998</v>
      </c>
      <c r="G675" s="37">
        <v>14008.5</v>
      </c>
      <c r="H675" s="37">
        <v>14008.5</v>
      </c>
    </row>
    <row r="676" spans="1:8" s="196" customFormat="1" ht="12" x14ac:dyDescent="0.2">
      <c r="A676" s="29" t="s">
        <v>193</v>
      </c>
      <c r="B676" s="30" t="s">
        <v>375</v>
      </c>
      <c r="C676" s="30" t="s">
        <v>412</v>
      </c>
      <c r="D676" s="30" t="s">
        <v>730</v>
      </c>
      <c r="E676" s="30"/>
      <c r="F676" s="31">
        <f>F677+F679</f>
        <v>629.00300000000004</v>
      </c>
      <c r="G676" s="31">
        <f>G677+G679</f>
        <v>545</v>
      </c>
      <c r="H676" s="31">
        <f>H677+H679</f>
        <v>545</v>
      </c>
    </row>
    <row r="677" spans="1:8" s="196" customFormat="1" ht="12" x14ac:dyDescent="0.2">
      <c r="A677" s="35" t="s">
        <v>195</v>
      </c>
      <c r="B677" s="36" t="s">
        <v>375</v>
      </c>
      <c r="C677" s="36" t="s">
        <v>412</v>
      </c>
      <c r="D677" s="36" t="s">
        <v>730</v>
      </c>
      <c r="E677" s="36" t="s">
        <v>196</v>
      </c>
      <c r="F677" s="37">
        <f>F678</f>
        <v>624.00300000000004</v>
      </c>
      <c r="G677" s="37">
        <f>G678</f>
        <v>540</v>
      </c>
      <c r="H677" s="37">
        <f>H678</f>
        <v>540</v>
      </c>
    </row>
    <row r="678" spans="1:8" s="196" customFormat="1" ht="12" x14ac:dyDescent="0.2">
      <c r="A678" s="35" t="s">
        <v>197</v>
      </c>
      <c r="B678" s="36" t="s">
        <v>375</v>
      </c>
      <c r="C678" s="36" t="s">
        <v>412</v>
      </c>
      <c r="D678" s="36" t="s">
        <v>730</v>
      </c>
      <c r="E678" s="36" t="s">
        <v>198</v>
      </c>
      <c r="F678" s="37">
        <f>540+84.003</f>
        <v>624.00300000000004</v>
      </c>
      <c r="G678" s="37">
        <v>540</v>
      </c>
      <c r="H678" s="37">
        <v>540</v>
      </c>
    </row>
    <row r="679" spans="1:8" s="196" customFormat="1" ht="12" x14ac:dyDescent="0.2">
      <c r="A679" s="35" t="s">
        <v>199</v>
      </c>
      <c r="B679" s="36" t="s">
        <v>375</v>
      </c>
      <c r="C679" s="36" t="s">
        <v>412</v>
      </c>
      <c r="D679" s="36" t="s">
        <v>730</v>
      </c>
      <c r="E679" s="36" t="s">
        <v>200</v>
      </c>
      <c r="F679" s="37">
        <f>F680</f>
        <v>5</v>
      </c>
      <c r="G679" s="37">
        <f>G680</f>
        <v>5</v>
      </c>
      <c r="H679" s="37">
        <f>H680</f>
        <v>5</v>
      </c>
    </row>
    <row r="680" spans="1:8" s="196" customFormat="1" ht="12" x14ac:dyDescent="0.2">
      <c r="A680" s="35" t="s">
        <v>201</v>
      </c>
      <c r="B680" s="36" t="s">
        <v>375</v>
      </c>
      <c r="C680" s="36" t="s">
        <v>412</v>
      </c>
      <c r="D680" s="36" t="s">
        <v>730</v>
      </c>
      <c r="E680" s="36" t="s">
        <v>202</v>
      </c>
      <c r="F680" s="37">
        <v>5</v>
      </c>
      <c r="G680" s="37">
        <v>5</v>
      </c>
      <c r="H680" s="37">
        <v>5</v>
      </c>
    </row>
    <row r="681" spans="1:8" s="196" customFormat="1" ht="12" x14ac:dyDescent="0.2">
      <c r="A681" s="39" t="s">
        <v>551</v>
      </c>
      <c r="B681" s="40" t="s">
        <v>375</v>
      </c>
      <c r="C681" s="40" t="s">
        <v>412</v>
      </c>
      <c r="D681" s="40" t="s">
        <v>552</v>
      </c>
      <c r="E681" s="40"/>
      <c r="F681" s="41">
        <f>F682+F685+F688</f>
        <v>83350</v>
      </c>
      <c r="G681" s="41">
        <f>G682+G685+G688</f>
        <v>90750</v>
      </c>
      <c r="H681" s="41">
        <f>H682+H685+H688</f>
        <v>117290</v>
      </c>
    </row>
    <row r="682" spans="1:8" s="196" customFormat="1" ht="12" x14ac:dyDescent="0.2">
      <c r="A682" s="50" t="s">
        <v>570</v>
      </c>
      <c r="B682" s="30" t="s">
        <v>375</v>
      </c>
      <c r="C682" s="30" t="s">
        <v>412</v>
      </c>
      <c r="D682" s="62" t="s">
        <v>571</v>
      </c>
      <c r="E682" s="30"/>
      <c r="F682" s="31">
        <f>F683</f>
        <v>78800</v>
      </c>
      <c r="G682" s="31">
        <f t="shared" ref="G682:H683" si="181">G683</f>
        <v>60000</v>
      </c>
      <c r="H682" s="31">
        <f t="shared" si="181"/>
        <v>80750</v>
      </c>
    </row>
    <row r="683" spans="1:8" s="196" customFormat="1" ht="12" x14ac:dyDescent="0.2">
      <c r="A683" s="35" t="s">
        <v>195</v>
      </c>
      <c r="B683" s="36" t="s">
        <v>375</v>
      </c>
      <c r="C683" s="36" t="s">
        <v>412</v>
      </c>
      <c r="D683" s="63" t="s">
        <v>571</v>
      </c>
      <c r="E683" s="36" t="s">
        <v>196</v>
      </c>
      <c r="F683" s="37">
        <f>F684</f>
        <v>78800</v>
      </c>
      <c r="G683" s="37">
        <f t="shared" si="181"/>
        <v>60000</v>
      </c>
      <c r="H683" s="37">
        <f t="shared" si="181"/>
        <v>80750</v>
      </c>
    </row>
    <row r="684" spans="1:8" s="196" customFormat="1" ht="12" x14ac:dyDescent="0.2">
      <c r="A684" s="35" t="s">
        <v>197</v>
      </c>
      <c r="B684" s="36" t="s">
        <v>375</v>
      </c>
      <c r="C684" s="36" t="s">
        <v>412</v>
      </c>
      <c r="D684" s="63" t="s">
        <v>571</v>
      </c>
      <c r="E684" s="36" t="s">
        <v>198</v>
      </c>
      <c r="F684" s="37">
        <f>49500+9000+10000+7500+2800</f>
        <v>78800</v>
      </c>
      <c r="G684" s="37">
        <f>315000-250000-5000</f>
        <v>60000</v>
      </c>
      <c r="H684" s="37">
        <f>350750-270000</f>
        <v>80750</v>
      </c>
    </row>
    <row r="685" spans="1:8" s="196" customFormat="1" ht="24" x14ac:dyDescent="0.2">
      <c r="A685" s="29" t="s">
        <v>572</v>
      </c>
      <c r="B685" s="30" t="s">
        <v>375</v>
      </c>
      <c r="C685" s="30" t="s">
        <v>412</v>
      </c>
      <c r="D685" s="62" t="s">
        <v>573</v>
      </c>
      <c r="E685" s="30"/>
      <c r="F685" s="45">
        <f>F686</f>
        <v>0</v>
      </c>
      <c r="G685" s="31">
        <f t="shared" ref="G685:H686" si="182">G686</f>
        <v>18000</v>
      </c>
      <c r="H685" s="31">
        <f t="shared" si="182"/>
        <v>20000</v>
      </c>
    </row>
    <row r="686" spans="1:8" s="196" customFormat="1" ht="12" x14ac:dyDescent="0.2">
      <c r="A686" s="35" t="s">
        <v>344</v>
      </c>
      <c r="B686" s="36" t="s">
        <v>375</v>
      </c>
      <c r="C686" s="36" t="s">
        <v>412</v>
      </c>
      <c r="D686" s="36" t="s">
        <v>573</v>
      </c>
      <c r="E686" s="36" t="s">
        <v>345</v>
      </c>
      <c r="F686" s="46">
        <f>F687</f>
        <v>0</v>
      </c>
      <c r="G686" s="37">
        <f t="shared" si="182"/>
        <v>18000</v>
      </c>
      <c r="H686" s="37">
        <f t="shared" si="182"/>
        <v>20000</v>
      </c>
    </row>
    <row r="687" spans="1:8" s="196" customFormat="1" ht="12" x14ac:dyDescent="0.2">
      <c r="A687" s="35" t="s">
        <v>346</v>
      </c>
      <c r="B687" s="36" t="s">
        <v>375</v>
      </c>
      <c r="C687" s="36" t="s">
        <v>412</v>
      </c>
      <c r="D687" s="36" t="s">
        <v>573</v>
      </c>
      <c r="E687" s="36" t="s">
        <v>347</v>
      </c>
      <c r="F687" s="46">
        <v>0</v>
      </c>
      <c r="G687" s="46">
        <f>50000-30000-2000</f>
        <v>18000</v>
      </c>
      <c r="H687" s="46">
        <f>50000-30000</f>
        <v>20000</v>
      </c>
    </row>
    <row r="688" spans="1:8" s="196" customFormat="1" ht="12" x14ac:dyDescent="0.2">
      <c r="A688" s="50" t="s">
        <v>555</v>
      </c>
      <c r="B688" s="30" t="s">
        <v>375</v>
      </c>
      <c r="C688" s="30" t="s">
        <v>412</v>
      </c>
      <c r="D688" s="30" t="s">
        <v>556</v>
      </c>
      <c r="E688" s="30"/>
      <c r="F688" s="31">
        <f>F689+F691</f>
        <v>4550</v>
      </c>
      <c r="G688" s="31">
        <f>G689+G691</f>
        <v>12750</v>
      </c>
      <c r="H688" s="31">
        <f>H689+H691</f>
        <v>16540</v>
      </c>
    </row>
    <row r="689" spans="1:8" s="196" customFormat="1" ht="12" x14ac:dyDescent="0.2">
      <c r="A689" s="35" t="s">
        <v>195</v>
      </c>
      <c r="B689" s="36" t="s">
        <v>375</v>
      </c>
      <c r="C689" s="36" t="s">
        <v>412</v>
      </c>
      <c r="D689" s="36" t="s">
        <v>556</v>
      </c>
      <c r="E689" s="36" t="s">
        <v>196</v>
      </c>
      <c r="F689" s="37">
        <f>F690</f>
        <v>3823.53658</v>
      </c>
      <c r="G689" s="37">
        <f t="shared" ref="G689:H689" si="183">G690</f>
        <v>12750</v>
      </c>
      <c r="H689" s="37">
        <f t="shared" si="183"/>
        <v>16540</v>
      </c>
    </row>
    <row r="690" spans="1:8" s="196" customFormat="1" ht="12" x14ac:dyDescent="0.2">
      <c r="A690" s="35" t="s">
        <v>197</v>
      </c>
      <c r="B690" s="36" t="s">
        <v>375</v>
      </c>
      <c r="C690" s="36" t="s">
        <v>412</v>
      </c>
      <c r="D690" s="36" t="s">
        <v>556</v>
      </c>
      <c r="E690" s="36" t="s">
        <v>198</v>
      </c>
      <c r="F690" s="37">
        <f>5000-50-726.46342-400</f>
        <v>3823.53658</v>
      </c>
      <c r="G690" s="46">
        <f>15750-3000</f>
        <v>12750</v>
      </c>
      <c r="H690" s="46">
        <v>16540</v>
      </c>
    </row>
    <row r="691" spans="1:8" s="196" customFormat="1" ht="12" x14ac:dyDescent="0.2">
      <c r="A691" s="35" t="s">
        <v>344</v>
      </c>
      <c r="B691" s="36" t="s">
        <v>375</v>
      </c>
      <c r="C691" s="36" t="s">
        <v>412</v>
      </c>
      <c r="D691" s="36" t="s">
        <v>556</v>
      </c>
      <c r="E691" s="36" t="s">
        <v>345</v>
      </c>
      <c r="F691" s="37">
        <f>F692</f>
        <v>726.46342000000004</v>
      </c>
      <c r="G691" s="46">
        <f>G692</f>
        <v>0</v>
      </c>
      <c r="H691" s="46">
        <f>H692</f>
        <v>0</v>
      </c>
    </row>
    <row r="692" spans="1:8" s="196" customFormat="1" ht="12" x14ac:dyDescent="0.2">
      <c r="A692" s="35" t="s">
        <v>346</v>
      </c>
      <c r="B692" s="36" t="s">
        <v>375</v>
      </c>
      <c r="C692" s="36" t="s">
        <v>412</v>
      </c>
      <c r="D692" s="36" t="s">
        <v>556</v>
      </c>
      <c r="E692" s="36" t="s">
        <v>347</v>
      </c>
      <c r="F692" s="37">
        <v>726.46342000000004</v>
      </c>
      <c r="G692" s="46">
        <v>0</v>
      </c>
      <c r="H692" s="46">
        <v>0</v>
      </c>
    </row>
    <row r="693" spans="1:8" s="196" customFormat="1" ht="12" x14ac:dyDescent="0.2">
      <c r="A693" s="129" t="s">
        <v>178</v>
      </c>
      <c r="B693" s="83" t="s">
        <v>375</v>
      </c>
      <c r="C693" s="83" t="s">
        <v>412</v>
      </c>
      <c r="D693" s="83" t="s">
        <v>189</v>
      </c>
      <c r="E693" s="12"/>
      <c r="F693" s="115">
        <f t="shared" ref="F693:H696" si="184">F694</f>
        <v>660.54271000000006</v>
      </c>
      <c r="G693" s="145">
        <f t="shared" si="184"/>
        <v>0</v>
      </c>
      <c r="H693" s="145">
        <f t="shared" si="184"/>
        <v>0</v>
      </c>
    </row>
    <row r="694" spans="1:8" s="196" customFormat="1" ht="12" x14ac:dyDescent="0.2">
      <c r="A694" s="75" t="s">
        <v>180</v>
      </c>
      <c r="B694" s="74" t="s">
        <v>375</v>
      </c>
      <c r="C694" s="74" t="s">
        <v>412</v>
      </c>
      <c r="D694" s="74" t="s">
        <v>190</v>
      </c>
      <c r="E694" s="12"/>
      <c r="F694" s="115">
        <f t="shared" si="184"/>
        <v>660.54271000000006</v>
      </c>
      <c r="G694" s="127">
        <f t="shared" si="184"/>
        <v>0</v>
      </c>
      <c r="H694" s="127">
        <f t="shared" si="184"/>
        <v>0</v>
      </c>
    </row>
    <row r="695" spans="1:8" s="196" customFormat="1" ht="12" x14ac:dyDescent="0.2">
      <c r="A695" s="75" t="s">
        <v>203</v>
      </c>
      <c r="B695" s="74" t="s">
        <v>375</v>
      </c>
      <c r="C695" s="74" t="s">
        <v>412</v>
      </c>
      <c r="D695" s="74" t="s">
        <v>204</v>
      </c>
      <c r="E695" s="74"/>
      <c r="F695" s="127">
        <f t="shared" si="184"/>
        <v>660.54271000000006</v>
      </c>
      <c r="G695" s="127">
        <f t="shared" si="184"/>
        <v>0</v>
      </c>
      <c r="H695" s="127">
        <f t="shared" si="184"/>
        <v>0</v>
      </c>
    </row>
    <row r="696" spans="1:8" s="196" customFormat="1" ht="24" x14ac:dyDescent="0.2">
      <c r="A696" s="73" t="s">
        <v>185</v>
      </c>
      <c r="B696" s="12" t="s">
        <v>375</v>
      </c>
      <c r="C696" s="12" t="s">
        <v>412</v>
      </c>
      <c r="D696" s="12" t="s">
        <v>204</v>
      </c>
      <c r="E696" s="12" t="s">
        <v>186</v>
      </c>
      <c r="F696" s="115">
        <f t="shared" si="184"/>
        <v>660.54271000000006</v>
      </c>
      <c r="G696" s="115">
        <f t="shared" si="184"/>
        <v>0</v>
      </c>
      <c r="H696" s="115">
        <f t="shared" si="184"/>
        <v>0</v>
      </c>
    </row>
    <row r="697" spans="1:8" s="196" customFormat="1" ht="12" x14ac:dyDescent="0.2">
      <c r="A697" s="73" t="s">
        <v>187</v>
      </c>
      <c r="B697" s="12" t="s">
        <v>375</v>
      </c>
      <c r="C697" s="12" t="s">
        <v>412</v>
      </c>
      <c r="D697" s="12" t="s">
        <v>204</v>
      </c>
      <c r="E697" s="12" t="s">
        <v>188</v>
      </c>
      <c r="F697" s="115">
        <v>660.54271000000006</v>
      </c>
      <c r="G697" s="115">
        <v>0</v>
      </c>
      <c r="H697" s="115">
        <v>0</v>
      </c>
    </row>
    <row r="698" spans="1:8" s="196" customFormat="1" ht="12" x14ac:dyDescent="0.2">
      <c r="A698" s="29" t="s">
        <v>446</v>
      </c>
      <c r="B698" s="30" t="s">
        <v>404</v>
      </c>
      <c r="C698" s="30" t="s">
        <v>174</v>
      </c>
      <c r="D698" s="36"/>
      <c r="E698" s="36"/>
      <c r="F698" s="31">
        <f>F699+F752</f>
        <v>219629.11076000001</v>
      </c>
      <c r="G698" s="31">
        <f>G699+G752</f>
        <v>161250.17300000001</v>
      </c>
      <c r="H698" s="31">
        <f>H699+H752</f>
        <v>162948.6</v>
      </c>
    </row>
    <row r="699" spans="1:8" s="196" customFormat="1" ht="12" x14ac:dyDescent="0.2">
      <c r="A699" s="29" t="s">
        <v>447</v>
      </c>
      <c r="B699" s="30" t="s">
        <v>404</v>
      </c>
      <c r="C699" s="30" t="s">
        <v>173</v>
      </c>
      <c r="D699" s="30"/>
      <c r="E699" s="30"/>
      <c r="F699" s="31">
        <f>F700</f>
        <v>210209.67285</v>
      </c>
      <c r="G699" s="31">
        <f t="shared" ref="G699:H699" si="185">G700</f>
        <v>133068.1</v>
      </c>
      <c r="H699" s="31">
        <f t="shared" si="185"/>
        <v>136535.1</v>
      </c>
    </row>
    <row r="700" spans="1:8" s="196" customFormat="1" ht="12" x14ac:dyDescent="0.2">
      <c r="A700" s="39" t="s">
        <v>439</v>
      </c>
      <c r="B700" s="40" t="s">
        <v>404</v>
      </c>
      <c r="C700" s="40" t="s">
        <v>173</v>
      </c>
      <c r="D700" s="40" t="s">
        <v>440</v>
      </c>
      <c r="E700" s="40"/>
      <c r="F700" s="41">
        <f>F701+F734</f>
        <v>210209.67285</v>
      </c>
      <c r="G700" s="41">
        <f>G701+G734</f>
        <v>133068.1</v>
      </c>
      <c r="H700" s="41">
        <f>H701+H734</f>
        <v>136535.1</v>
      </c>
    </row>
    <row r="701" spans="1:8" s="196" customFormat="1" ht="12" x14ac:dyDescent="0.2">
      <c r="A701" s="39" t="s">
        <v>448</v>
      </c>
      <c r="B701" s="40" t="s">
        <v>404</v>
      </c>
      <c r="C701" s="40" t="s">
        <v>173</v>
      </c>
      <c r="D701" s="40" t="s">
        <v>449</v>
      </c>
      <c r="E701" s="40"/>
      <c r="F701" s="41">
        <f>F702+F705+F708+F713+F716+F719+F722+F725+F728+F731</f>
        <v>68957.06</v>
      </c>
      <c r="G701" s="41">
        <f>G702+G705+G708+G713+G716+G719+G722+G725+G728+G731</f>
        <v>25510</v>
      </c>
      <c r="H701" s="41">
        <f>H702+H705+H708+H713+H716+H719+H722+H725+H728+H731</f>
        <v>25810</v>
      </c>
    </row>
    <row r="702" spans="1:8" s="196" customFormat="1" ht="12" x14ac:dyDescent="0.2">
      <c r="A702" s="29" t="s">
        <v>450</v>
      </c>
      <c r="B702" s="30" t="s">
        <v>404</v>
      </c>
      <c r="C702" s="30" t="s">
        <v>173</v>
      </c>
      <c r="D702" s="30" t="s">
        <v>451</v>
      </c>
      <c r="E702" s="30"/>
      <c r="F702" s="31">
        <f>F703</f>
        <v>63110</v>
      </c>
      <c r="G702" s="31">
        <f t="shared" ref="G702:H703" si="186">G703</f>
        <v>21810</v>
      </c>
      <c r="H702" s="31">
        <f t="shared" si="186"/>
        <v>21810</v>
      </c>
    </row>
    <row r="703" spans="1:8" s="196" customFormat="1" ht="12" x14ac:dyDescent="0.2">
      <c r="A703" s="35" t="s">
        <v>195</v>
      </c>
      <c r="B703" s="36" t="s">
        <v>404</v>
      </c>
      <c r="C703" s="36" t="s">
        <v>173</v>
      </c>
      <c r="D703" s="36" t="s">
        <v>451</v>
      </c>
      <c r="E703" s="36" t="s">
        <v>196</v>
      </c>
      <c r="F703" s="37">
        <f>F704</f>
        <v>63110</v>
      </c>
      <c r="G703" s="37">
        <f t="shared" si="186"/>
        <v>21810</v>
      </c>
      <c r="H703" s="37">
        <f t="shared" si="186"/>
        <v>21810</v>
      </c>
    </row>
    <row r="704" spans="1:8" s="196" customFormat="1" ht="12" x14ac:dyDescent="0.2">
      <c r="A704" s="35" t="s">
        <v>197</v>
      </c>
      <c r="B704" s="36" t="s">
        <v>404</v>
      </c>
      <c r="C704" s="36" t="s">
        <v>173</v>
      </c>
      <c r="D704" s="36" t="s">
        <v>451</v>
      </c>
      <c r="E704" s="36" t="s">
        <v>198</v>
      </c>
      <c r="F704" s="37">
        <f>26810+30000+6300</f>
        <v>63110</v>
      </c>
      <c r="G704" s="37">
        <f>26810-5000</f>
        <v>21810</v>
      </c>
      <c r="H704" s="37">
        <f>26810-5000</f>
        <v>21810</v>
      </c>
    </row>
    <row r="705" spans="1:8" s="196" customFormat="1" ht="12" x14ac:dyDescent="0.2">
      <c r="A705" s="50" t="s">
        <v>452</v>
      </c>
      <c r="B705" s="30" t="s">
        <v>404</v>
      </c>
      <c r="C705" s="30" t="s">
        <v>173</v>
      </c>
      <c r="D705" s="30" t="s">
        <v>453</v>
      </c>
      <c r="E705" s="36"/>
      <c r="F705" s="31">
        <f>F706</f>
        <v>350</v>
      </c>
      <c r="G705" s="31">
        <f t="shared" ref="G705:H706" si="187">G706</f>
        <v>400</v>
      </c>
      <c r="H705" s="31">
        <f t="shared" si="187"/>
        <v>400</v>
      </c>
    </row>
    <row r="706" spans="1:8" s="196" customFormat="1" ht="12" x14ac:dyDescent="0.2">
      <c r="A706" s="35" t="s">
        <v>195</v>
      </c>
      <c r="B706" s="36" t="s">
        <v>404</v>
      </c>
      <c r="C706" s="36" t="s">
        <v>173</v>
      </c>
      <c r="D706" s="36" t="s">
        <v>453</v>
      </c>
      <c r="E706" s="36" t="s">
        <v>196</v>
      </c>
      <c r="F706" s="37">
        <f>F707</f>
        <v>350</v>
      </c>
      <c r="G706" s="37">
        <f t="shared" si="187"/>
        <v>400</v>
      </c>
      <c r="H706" s="37">
        <f t="shared" si="187"/>
        <v>400</v>
      </c>
    </row>
    <row r="707" spans="1:8" s="196" customFormat="1" ht="12" x14ac:dyDescent="0.2">
      <c r="A707" s="35" t="s">
        <v>197</v>
      </c>
      <c r="B707" s="36" t="s">
        <v>404</v>
      </c>
      <c r="C707" s="36" t="s">
        <v>173</v>
      </c>
      <c r="D707" s="36" t="s">
        <v>453</v>
      </c>
      <c r="E707" s="36" t="s">
        <v>198</v>
      </c>
      <c r="F707" s="37">
        <v>350</v>
      </c>
      <c r="G707" s="37">
        <v>400</v>
      </c>
      <c r="H707" s="37">
        <v>400</v>
      </c>
    </row>
    <row r="708" spans="1:8" s="196" customFormat="1" ht="24" x14ac:dyDescent="0.2">
      <c r="A708" s="29" t="s">
        <v>454</v>
      </c>
      <c r="B708" s="30" t="s">
        <v>404</v>
      </c>
      <c r="C708" s="30" t="s">
        <v>173</v>
      </c>
      <c r="D708" s="30" t="s">
        <v>455</v>
      </c>
      <c r="E708" s="30"/>
      <c r="F708" s="31">
        <f>F709+F711</f>
        <v>200</v>
      </c>
      <c r="G708" s="31">
        <f>G709+G711</f>
        <v>200</v>
      </c>
      <c r="H708" s="31">
        <f>H709+H711</f>
        <v>200</v>
      </c>
    </row>
    <row r="709" spans="1:8" s="196" customFormat="1" ht="12" x14ac:dyDescent="0.2">
      <c r="A709" s="35" t="s">
        <v>195</v>
      </c>
      <c r="B709" s="36" t="s">
        <v>404</v>
      </c>
      <c r="C709" s="36" t="s">
        <v>173</v>
      </c>
      <c r="D709" s="36" t="s">
        <v>455</v>
      </c>
      <c r="E709" s="36" t="s">
        <v>196</v>
      </c>
      <c r="F709" s="37">
        <f>F710</f>
        <v>100</v>
      </c>
      <c r="G709" s="37">
        <f t="shared" ref="G709:H709" si="188">G710</f>
        <v>200</v>
      </c>
      <c r="H709" s="37">
        <f t="shared" si="188"/>
        <v>200</v>
      </c>
    </row>
    <row r="710" spans="1:8" s="196" customFormat="1" ht="12" x14ac:dyDescent="0.2">
      <c r="A710" s="35" t="s">
        <v>197</v>
      </c>
      <c r="B710" s="36" t="s">
        <v>404</v>
      </c>
      <c r="C710" s="36" t="s">
        <v>173</v>
      </c>
      <c r="D710" s="36" t="s">
        <v>455</v>
      </c>
      <c r="E710" s="36" t="s">
        <v>198</v>
      </c>
      <c r="F710" s="37">
        <v>100</v>
      </c>
      <c r="G710" s="37">
        <v>200</v>
      </c>
      <c r="H710" s="37">
        <v>200</v>
      </c>
    </row>
    <row r="711" spans="1:8" s="196" customFormat="1" ht="12" x14ac:dyDescent="0.2">
      <c r="A711" s="35" t="s">
        <v>325</v>
      </c>
      <c r="B711" s="36" t="s">
        <v>404</v>
      </c>
      <c r="C711" s="36" t="s">
        <v>173</v>
      </c>
      <c r="D711" s="36" t="s">
        <v>455</v>
      </c>
      <c r="E711" s="36" t="s">
        <v>326</v>
      </c>
      <c r="F711" s="37">
        <f>F712</f>
        <v>100</v>
      </c>
      <c r="G711" s="46">
        <f t="shared" ref="G711:H711" si="189">G712</f>
        <v>0</v>
      </c>
      <c r="H711" s="46">
        <f t="shared" si="189"/>
        <v>0</v>
      </c>
    </row>
    <row r="712" spans="1:8" s="196" customFormat="1" ht="12" x14ac:dyDescent="0.2">
      <c r="A712" s="35" t="s">
        <v>456</v>
      </c>
      <c r="B712" s="36" t="s">
        <v>404</v>
      </c>
      <c r="C712" s="36" t="s">
        <v>173</v>
      </c>
      <c r="D712" s="36" t="s">
        <v>455</v>
      </c>
      <c r="E712" s="36" t="s">
        <v>457</v>
      </c>
      <c r="F712" s="37">
        <v>100</v>
      </c>
      <c r="G712" s="46">
        <v>0</v>
      </c>
      <c r="H712" s="46">
        <v>0</v>
      </c>
    </row>
    <row r="713" spans="1:8" s="196" customFormat="1" ht="24" x14ac:dyDescent="0.2">
      <c r="A713" s="29" t="s">
        <v>458</v>
      </c>
      <c r="B713" s="30" t="s">
        <v>404</v>
      </c>
      <c r="C713" s="30" t="s">
        <v>173</v>
      </c>
      <c r="D713" s="30" t="s">
        <v>459</v>
      </c>
      <c r="E713" s="30"/>
      <c r="F713" s="31">
        <f>F714</f>
        <v>300</v>
      </c>
      <c r="G713" s="31">
        <f t="shared" ref="G713:H714" si="190">G714</f>
        <v>1000</v>
      </c>
      <c r="H713" s="31">
        <f t="shared" si="190"/>
        <v>1000</v>
      </c>
    </row>
    <row r="714" spans="1:8" s="196" customFormat="1" ht="12" x14ac:dyDescent="0.2">
      <c r="A714" s="35" t="s">
        <v>195</v>
      </c>
      <c r="B714" s="36" t="s">
        <v>404</v>
      </c>
      <c r="C714" s="36" t="s">
        <v>173</v>
      </c>
      <c r="D714" s="36" t="s">
        <v>459</v>
      </c>
      <c r="E714" s="36" t="s">
        <v>196</v>
      </c>
      <c r="F714" s="37">
        <f>F715</f>
        <v>300</v>
      </c>
      <c r="G714" s="37">
        <f t="shared" si="190"/>
        <v>1000</v>
      </c>
      <c r="H714" s="37">
        <f t="shared" si="190"/>
        <v>1000</v>
      </c>
    </row>
    <row r="715" spans="1:8" s="196" customFormat="1" ht="12" x14ac:dyDescent="0.2">
      <c r="A715" s="35" t="s">
        <v>197</v>
      </c>
      <c r="B715" s="36" t="s">
        <v>404</v>
      </c>
      <c r="C715" s="36" t="s">
        <v>173</v>
      </c>
      <c r="D715" s="36" t="s">
        <v>459</v>
      </c>
      <c r="E715" s="36" t="s">
        <v>198</v>
      </c>
      <c r="F715" s="37">
        <v>300</v>
      </c>
      <c r="G715" s="37">
        <v>1000</v>
      </c>
      <c r="H715" s="37">
        <v>1000</v>
      </c>
    </row>
    <row r="716" spans="1:8" s="196" customFormat="1" ht="24" x14ac:dyDescent="0.2">
      <c r="A716" s="29" t="s">
        <v>460</v>
      </c>
      <c r="B716" s="30" t="s">
        <v>404</v>
      </c>
      <c r="C716" s="30" t="s">
        <v>173</v>
      </c>
      <c r="D716" s="30" t="s">
        <v>461</v>
      </c>
      <c r="E716" s="30"/>
      <c r="F716" s="31">
        <f>F717</f>
        <v>1200</v>
      </c>
      <c r="G716" s="31">
        <f t="shared" ref="G716:H717" si="191">G717</f>
        <v>700</v>
      </c>
      <c r="H716" s="31">
        <f t="shared" si="191"/>
        <v>500</v>
      </c>
    </row>
    <row r="717" spans="1:8" s="196" customFormat="1" ht="12" x14ac:dyDescent="0.2">
      <c r="A717" s="35" t="s">
        <v>195</v>
      </c>
      <c r="B717" s="36" t="s">
        <v>404</v>
      </c>
      <c r="C717" s="36" t="s">
        <v>173</v>
      </c>
      <c r="D717" s="36" t="s">
        <v>461</v>
      </c>
      <c r="E717" s="36" t="s">
        <v>196</v>
      </c>
      <c r="F717" s="37">
        <f>F718</f>
        <v>1200</v>
      </c>
      <c r="G717" s="37">
        <f t="shared" si="191"/>
        <v>700</v>
      </c>
      <c r="H717" s="37">
        <f t="shared" si="191"/>
        <v>500</v>
      </c>
    </row>
    <row r="718" spans="1:8" s="195" customFormat="1" ht="12" x14ac:dyDescent="0.2">
      <c r="A718" s="35" t="s">
        <v>197</v>
      </c>
      <c r="B718" s="36" t="s">
        <v>404</v>
      </c>
      <c r="C718" s="36" t="s">
        <v>173</v>
      </c>
      <c r="D718" s="36" t="s">
        <v>461</v>
      </c>
      <c r="E718" s="36" t="s">
        <v>198</v>
      </c>
      <c r="F718" s="37">
        <v>1200</v>
      </c>
      <c r="G718" s="37">
        <v>700</v>
      </c>
      <c r="H718" s="37">
        <v>500</v>
      </c>
    </row>
    <row r="719" spans="1:8" s="195" customFormat="1" ht="24" x14ac:dyDescent="0.2">
      <c r="A719" s="29" t="s">
        <v>462</v>
      </c>
      <c r="B719" s="30" t="s">
        <v>404</v>
      </c>
      <c r="C719" s="30" t="s">
        <v>173</v>
      </c>
      <c r="D719" s="30" t="s">
        <v>463</v>
      </c>
      <c r="E719" s="30"/>
      <c r="F719" s="45">
        <f>F720</f>
        <v>0</v>
      </c>
      <c r="G719" s="45">
        <f t="shared" ref="G719:H720" si="192">G720</f>
        <v>0</v>
      </c>
      <c r="H719" s="31">
        <f t="shared" si="192"/>
        <v>500</v>
      </c>
    </row>
    <row r="720" spans="1:8" s="195" customFormat="1" ht="12" x14ac:dyDescent="0.2">
      <c r="A720" s="35" t="s">
        <v>195</v>
      </c>
      <c r="B720" s="36" t="s">
        <v>404</v>
      </c>
      <c r="C720" s="36" t="s">
        <v>173</v>
      </c>
      <c r="D720" s="36" t="s">
        <v>463</v>
      </c>
      <c r="E720" s="36" t="s">
        <v>196</v>
      </c>
      <c r="F720" s="46">
        <f>F721</f>
        <v>0</v>
      </c>
      <c r="G720" s="46">
        <f t="shared" si="192"/>
        <v>0</v>
      </c>
      <c r="H720" s="37">
        <f t="shared" si="192"/>
        <v>500</v>
      </c>
    </row>
    <row r="721" spans="1:8" s="195" customFormat="1" ht="12" x14ac:dyDescent="0.2">
      <c r="A721" s="35" t="s">
        <v>197</v>
      </c>
      <c r="B721" s="36" t="s">
        <v>404</v>
      </c>
      <c r="C721" s="36" t="s">
        <v>173</v>
      </c>
      <c r="D721" s="36" t="s">
        <v>463</v>
      </c>
      <c r="E721" s="36" t="s">
        <v>198</v>
      </c>
      <c r="F721" s="46">
        <v>0</v>
      </c>
      <c r="G721" s="46">
        <v>0</v>
      </c>
      <c r="H721" s="37">
        <v>500</v>
      </c>
    </row>
    <row r="722" spans="1:8" s="195" customFormat="1" ht="12" x14ac:dyDescent="0.2">
      <c r="A722" s="29" t="s">
        <v>464</v>
      </c>
      <c r="B722" s="30" t="s">
        <v>404</v>
      </c>
      <c r="C722" s="30" t="s">
        <v>173</v>
      </c>
      <c r="D722" s="30" t="s">
        <v>465</v>
      </c>
      <c r="E722" s="30"/>
      <c r="F722" s="31">
        <f>F723</f>
        <v>500</v>
      </c>
      <c r="G722" s="31">
        <f t="shared" ref="G722:H723" si="193">G723</f>
        <v>500</v>
      </c>
      <c r="H722" s="31">
        <f t="shared" si="193"/>
        <v>500</v>
      </c>
    </row>
    <row r="723" spans="1:8" s="195" customFormat="1" ht="12" x14ac:dyDescent="0.2">
      <c r="A723" s="35" t="s">
        <v>195</v>
      </c>
      <c r="B723" s="36" t="s">
        <v>404</v>
      </c>
      <c r="C723" s="36" t="s">
        <v>173</v>
      </c>
      <c r="D723" s="36" t="s">
        <v>465</v>
      </c>
      <c r="E723" s="36" t="s">
        <v>196</v>
      </c>
      <c r="F723" s="37">
        <f>F724</f>
        <v>500</v>
      </c>
      <c r="G723" s="37">
        <f t="shared" si="193"/>
        <v>500</v>
      </c>
      <c r="H723" s="37">
        <f t="shared" si="193"/>
        <v>500</v>
      </c>
    </row>
    <row r="724" spans="1:8" s="195" customFormat="1" ht="12" x14ac:dyDescent="0.2">
      <c r="A724" s="35" t="s">
        <v>197</v>
      </c>
      <c r="B724" s="36" t="s">
        <v>404</v>
      </c>
      <c r="C724" s="36" t="s">
        <v>173</v>
      </c>
      <c r="D724" s="36" t="s">
        <v>465</v>
      </c>
      <c r="E724" s="36" t="s">
        <v>198</v>
      </c>
      <c r="F724" s="37">
        <v>500</v>
      </c>
      <c r="G724" s="37">
        <v>500</v>
      </c>
      <c r="H724" s="37">
        <v>500</v>
      </c>
    </row>
    <row r="725" spans="1:8" s="195" customFormat="1" ht="12" x14ac:dyDescent="0.2">
      <c r="A725" s="29" t="s">
        <v>466</v>
      </c>
      <c r="B725" s="30" t="s">
        <v>404</v>
      </c>
      <c r="C725" s="30" t="s">
        <v>173</v>
      </c>
      <c r="D725" s="30" t="s">
        <v>467</v>
      </c>
      <c r="E725" s="30"/>
      <c r="F725" s="31">
        <f>F726</f>
        <v>400</v>
      </c>
      <c r="G725" s="31">
        <f t="shared" ref="G725:H726" si="194">G726</f>
        <v>400</v>
      </c>
      <c r="H725" s="31">
        <f t="shared" si="194"/>
        <v>400</v>
      </c>
    </row>
    <row r="726" spans="1:8" s="195" customFormat="1" ht="12" x14ac:dyDescent="0.2">
      <c r="A726" s="35" t="s">
        <v>195</v>
      </c>
      <c r="B726" s="36" t="s">
        <v>404</v>
      </c>
      <c r="C726" s="36" t="s">
        <v>173</v>
      </c>
      <c r="D726" s="36" t="s">
        <v>467</v>
      </c>
      <c r="E726" s="36" t="s">
        <v>196</v>
      </c>
      <c r="F726" s="37">
        <f>F727</f>
        <v>400</v>
      </c>
      <c r="G726" s="37">
        <f t="shared" si="194"/>
        <v>400</v>
      </c>
      <c r="H726" s="37">
        <f t="shared" si="194"/>
        <v>400</v>
      </c>
    </row>
    <row r="727" spans="1:8" s="195" customFormat="1" ht="12" x14ac:dyDescent="0.2">
      <c r="A727" s="35" t="s">
        <v>197</v>
      </c>
      <c r="B727" s="36" t="s">
        <v>404</v>
      </c>
      <c r="C727" s="36" t="s">
        <v>173</v>
      </c>
      <c r="D727" s="36" t="s">
        <v>467</v>
      </c>
      <c r="E727" s="36" t="s">
        <v>198</v>
      </c>
      <c r="F727" s="37">
        <v>400</v>
      </c>
      <c r="G727" s="37">
        <v>400</v>
      </c>
      <c r="H727" s="37">
        <v>400</v>
      </c>
    </row>
    <row r="728" spans="1:8" s="195" customFormat="1" ht="24" x14ac:dyDescent="0.2">
      <c r="A728" s="29" t="s">
        <v>468</v>
      </c>
      <c r="B728" s="30" t="s">
        <v>404</v>
      </c>
      <c r="C728" s="30" t="s">
        <v>173</v>
      </c>
      <c r="D728" s="30" t="s">
        <v>469</v>
      </c>
      <c r="E728" s="36"/>
      <c r="F728" s="31">
        <f>F729</f>
        <v>500</v>
      </c>
      <c r="G728" s="31">
        <f t="shared" ref="G728:H729" si="195">G729</f>
        <v>500</v>
      </c>
      <c r="H728" s="31">
        <f t="shared" si="195"/>
        <v>500</v>
      </c>
    </row>
    <row r="729" spans="1:8" s="195" customFormat="1" ht="12" x14ac:dyDescent="0.2">
      <c r="A729" s="35" t="s">
        <v>356</v>
      </c>
      <c r="B729" s="36" t="s">
        <v>404</v>
      </c>
      <c r="C729" s="36" t="s">
        <v>173</v>
      </c>
      <c r="D729" s="36" t="s">
        <v>469</v>
      </c>
      <c r="E729" s="36" t="s">
        <v>357</v>
      </c>
      <c r="F729" s="37">
        <f>F730</f>
        <v>500</v>
      </c>
      <c r="G729" s="37">
        <f t="shared" si="195"/>
        <v>500</v>
      </c>
      <c r="H729" s="37">
        <f t="shared" si="195"/>
        <v>500</v>
      </c>
    </row>
    <row r="730" spans="1:8" s="195" customFormat="1" ht="24" x14ac:dyDescent="0.2">
      <c r="A730" s="68" t="s">
        <v>470</v>
      </c>
      <c r="B730" s="36" t="s">
        <v>404</v>
      </c>
      <c r="C730" s="36" t="s">
        <v>173</v>
      </c>
      <c r="D730" s="36" t="s">
        <v>469</v>
      </c>
      <c r="E730" s="36" t="s">
        <v>471</v>
      </c>
      <c r="F730" s="37">
        <v>500</v>
      </c>
      <c r="G730" s="37">
        <v>500</v>
      </c>
      <c r="H730" s="37">
        <v>500</v>
      </c>
    </row>
    <row r="731" spans="1:8" s="195" customFormat="1" ht="12" x14ac:dyDescent="0.2">
      <c r="A731" s="50" t="s">
        <v>472</v>
      </c>
      <c r="B731" s="30" t="s">
        <v>404</v>
      </c>
      <c r="C731" s="30" t="s">
        <v>173</v>
      </c>
      <c r="D731" s="30" t="s">
        <v>473</v>
      </c>
      <c r="E731" s="30"/>
      <c r="F731" s="31">
        <f t="shared" ref="F731:H732" si="196">F732</f>
        <v>2397.06</v>
      </c>
      <c r="G731" s="45">
        <f t="shared" si="196"/>
        <v>0</v>
      </c>
      <c r="H731" s="45">
        <f t="shared" si="196"/>
        <v>0</v>
      </c>
    </row>
    <row r="732" spans="1:8" s="195" customFormat="1" ht="12" x14ac:dyDescent="0.2">
      <c r="A732" s="35" t="s">
        <v>195</v>
      </c>
      <c r="B732" s="36" t="s">
        <v>404</v>
      </c>
      <c r="C732" s="36" t="s">
        <v>173</v>
      </c>
      <c r="D732" s="36" t="s">
        <v>473</v>
      </c>
      <c r="E732" s="36" t="s">
        <v>196</v>
      </c>
      <c r="F732" s="37">
        <f t="shared" si="196"/>
        <v>2397.06</v>
      </c>
      <c r="G732" s="46">
        <f t="shared" si="196"/>
        <v>0</v>
      </c>
      <c r="H732" s="46">
        <f t="shared" si="196"/>
        <v>0</v>
      </c>
    </row>
    <row r="733" spans="1:8" s="195" customFormat="1" ht="12" x14ac:dyDescent="0.2">
      <c r="A733" s="35" t="s">
        <v>197</v>
      </c>
      <c r="B733" s="36" t="s">
        <v>404</v>
      </c>
      <c r="C733" s="36" t="s">
        <v>173</v>
      </c>
      <c r="D733" s="36" t="s">
        <v>473</v>
      </c>
      <c r="E733" s="36" t="s">
        <v>198</v>
      </c>
      <c r="F733" s="37">
        <v>2397.06</v>
      </c>
      <c r="G733" s="46">
        <v>0</v>
      </c>
      <c r="H733" s="46">
        <v>0</v>
      </c>
    </row>
    <row r="734" spans="1:8" s="195" customFormat="1" ht="12" x14ac:dyDescent="0.2">
      <c r="A734" s="29" t="s">
        <v>441</v>
      </c>
      <c r="B734" s="30" t="s">
        <v>404</v>
      </c>
      <c r="C734" s="30" t="s">
        <v>173</v>
      </c>
      <c r="D734" s="30" t="s">
        <v>442</v>
      </c>
      <c r="E734" s="30"/>
      <c r="F734" s="31">
        <f>F735+F739</f>
        <v>141252.61285</v>
      </c>
      <c r="G734" s="31">
        <f>G735+G739</f>
        <v>107558.1</v>
      </c>
      <c r="H734" s="31">
        <f>H735+H739</f>
        <v>110725.1</v>
      </c>
    </row>
    <row r="735" spans="1:8" s="195" customFormat="1" ht="12" x14ac:dyDescent="0.2">
      <c r="A735" s="29" t="s">
        <v>474</v>
      </c>
      <c r="B735" s="30" t="s">
        <v>404</v>
      </c>
      <c r="C735" s="30" t="s">
        <v>173</v>
      </c>
      <c r="D735" s="30" t="s">
        <v>475</v>
      </c>
      <c r="E735" s="30"/>
      <c r="F735" s="31">
        <f>F736</f>
        <v>39309.1</v>
      </c>
      <c r="G735" s="31">
        <f t="shared" ref="G735:H737" si="197">G736</f>
        <v>39309.1</v>
      </c>
      <c r="H735" s="31">
        <f t="shared" si="197"/>
        <v>39309.1</v>
      </c>
    </row>
    <row r="736" spans="1:8" s="195" customFormat="1" ht="12" x14ac:dyDescent="0.2">
      <c r="A736" s="52" t="s">
        <v>476</v>
      </c>
      <c r="B736" s="49" t="s">
        <v>404</v>
      </c>
      <c r="C736" s="49" t="s">
        <v>173</v>
      </c>
      <c r="D736" s="49" t="s">
        <v>477</v>
      </c>
      <c r="E736" s="40"/>
      <c r="F736" s="53">
        <f>F737</f>
        <v>39309.1</v>
      </c>
      <c r="G736" s="53">
        <f t="shared" si="197"/>
        <v>39309.1</v>
      </c>
      <c r="H736" s="53">
        <f t="shared" si="197"/>
        <v>39309.1</v>
      </c>
    </row>
    <row r="737" spans="1:8" s="195" customFormat="1" ht="12" x14ac:dyDescent="0.2">
      <c r="A737" s="35" t="s">
        <v>356</v>
      </c>
      <c r="B737" s="36" t="s">
        <v>404</v>
      </c>
      <c r="C737" s="36" t="s">
        <v>173</v>
      </c>
      <c r="D737" s="36" t="s">
        <v>477</v>
      </c>
      <c r="E737" s="36" t="s">
        <v>357</v>
      </c>
      <c r="F737" s="37">
        <f>F738</f>
        <v>39309.1</v>
      </c>
      <c r="G737" s="37">
        <f t="shared" si="197"/>
        <v>39309.1</v>
      </c>
      <c r="H737" s="37">
        <f t="shared" si="197"/>
        <v>39309.1</v>
      </c>
    </row>
    <row r="738" spans="1:8" s="195" customFormat="1" ht="12" x14ac:dyDescent="0.2">
      <c r="A738" s="35" t="s">
        <v>358</v>
      </c>
      <c r="B738" s="36" t="s">
        <v>404</v>
      </c>
      <c r="C738" s="36" t="s">
        <v>173</v>
      </c>
      <c r="D738" s="36" t="s">
        <v>477</v>
      </c>
      <c r="E738" s="36" t="s">
        <v>359</v>
      </c>
      <c r="F738" s="37">
        <v>39309.1</v>
      </c>
      <c r="G738" s="37">
        <v>39309.1</v>
      </c>
      <c r="H738" s="37">
        <v>39309.1</v>
      </c>
    </row>
    <row r="739" spans="1:8" s="195" customFormat="1" ht="24" x14ac:dyDescent="0.2">
      <c r="A739" s="29" t="s">
        <v>478</v>
      </c>
      <c r="B739" s="30" t="s">
        <v>404</v>
      </c>
      <c r="C739" s="30" t="s">
        <v>173</v>
      </c>
      <c r="D739" s="30" t="s">
        <v>479</v>
      </c>
      <c r="E739" s="30"/>
      <c r="F739" s="31">
        <f>F740+F743+F746+F749</f>
        <v>101943.51285</v>
      </c>
      <c r="G739" s="31">
        <f>G740+G743+G746+G749</f>
        <v>68249.000000000015</v>
      </c>
      <c r="H739" s="31">
        <f>H740+H743+H746+H749</f>
        <v>71416.000000000015</v>
      </c>
    </row>
    <row r="740" spans="1:8" s="195" customFormat="1" ht="12" x14ac:dyDescent="0.2">
      <c r="A740" s="52" t="s">
        <v>480</v>
      </c>
      <c r="B740" s="49" t="s">
        <v>404</v>
      </c>
      <c r="C740" s="49" t="s">
        <v>173</v>
      </c>
      <c r="D740" s="49" t="s">
        <v>481</v>
      </c>
      <c r="E740" s="49"/>
      <c r="F740" s="53">
        <f>F741</f>
        <v>56516.242790000004</v>
      </c>
      <c r="G740" s="53">
        <f t="shared" ref="G740:H741" si="198">G741</f>
        <v>22446.400000000001</v>
      </c>
      <c r="H740" s="53">
        <f t="shared" si="198"/>
        <v>22446.400000000001</v>
      </c>
    </row>
    <row r="741" spans="1:8" s="195" customFormat="1" ht="12" x14ac:dyDescent="0.2">
      <c r="A741" s="35" t="s">
        <v>356</v>
      </c>
      <c r="B741" s="36" t="s">
        <v>404</v>
      </c>
      <c r="C741" s="36" t="s">
        <v>173</v>
      </c>
      <c r="D741" s="36" t="s">
        <v>481</v>
      </c>
      <c r="E741" s="36" t="s">
        <v>357</v>
      </c>
      <c r="F741" s="37">
        <f>F742</f>
        <v>56516.242790000004</v>
      </c>
      <c r="G741" s="37">
        <f t="shared" si="198"/>
        <v>22446.400000000001</v>
      </c>
      <c r="H741" s="37">
        <f t="shared" si="198"/>
        <v>22446.400000000001</v>
      </c>
    </row>
    <row r="742" spans="1:8" s="195" customFormat="1" ht="12" x14ac:dyDescent="0.2">
      <c r="A742" s="35" t="s">
        <v>358</v>
      </c>
      <c r="B742" s="36" t="s">
        <v>404</v>
      </c>
      <c r="C742" s="36" t="s">
        <v>173</v>
      </c>
      <c r="D742" s="36" t="s">
        <v>481</v>
      </c>
      <c r="E742" s="36" t="s">
        <v>359</v>
      </c>
      <c r="F742" s="37">
        <f>2660+2117.2+1891.8+15777.4+2025.63148-2000+13000+5000+1000+4161.53131+600+7282.68+500+2500</f>
        <v>56516.242790000004</v>
      </c>
      <c r="G742" s="37">
        <f>2660+2117.2+1891.8+15777.4</f>
        <v>22446.400000000001</v>
      </c>
      <c r="H742" s="37">
        <f>2660+2117.2+1891.8+15777.4</f>
        <v>22446.400000000001</v>
      </c>
    </row>
    <row r="743" spans="1:8" s="195" customFormat="1" ht="24" x14ac:dyDescent="0.2">
      <c r="A743" s="39" t="s">
        <v>482</v>
      </c>
      <c r="B743" s="40" t="s">
        <v>404</v>
      </c>
      <c r="C743" s="40" t="s">
        <v>173</v>
      </c>
      <c r="D743" s="40" t="s">
        <v>483</v>
      </c>
      <c r="E743" s="40"/>
      <c r="F743" s="47">
        <f>F744</f>
        <v>45136</v>
      </c>
      <c r="G743" s="47">
        <f t="shared" ref="G743:H744" si="199">G744</f>
        <v>45511.3</v>
      </c>
      <c r="H743" s="47">
        <f t="shared" si="199"/>
        <v>48788.3</v>
      </c>
    </row>
    <row r="744" spans="1:8" s="195" customFormat="1" ht="12" x14ac:dyDescent="0.2">
      <c r="A744" s="35" t="s">
        <v>356</v>
      </c>
      <c r="B744" s="36" t="s">
        <v>404</v>
      </c>
      <c r="C744" s="36" t="s">
        <v>173</v>
      </c>
      <c r="D744" s="36" t="s">
        <v>483</v>
      </c>
      <c r="E744" s="36" t="s">
        <v>357</v>
      </c>
      <c r="F744" s="46">
        <f>F745</f>
        <v>45136</v>
      </c>
      <c r="G744" s="46">
        <f t="shared" si="199"/>
        <v>45511.3</v>
      </c>
      <c r="H744" s="46">
        <f t="shared" si="199"/>
        <v>48788.3</v>
      </c>
    </row>
    <row r="745" spans="1:8" s="195" customFormat="1" ht="12" x14ac:dyDescent="0.2">
      <c r="A745" s="35" t="s">
        <v>358</v>
      </c>
      <c r="B745" s="36" t="s">
        <v>404</v>
      </c>
      <c r="C745" s="36" t="s">
        <v>173</v>
      </c>
      <c r="D745" s="36" t="s">
        <v>483</v>
      </c>
      <c r="E745" s="36" t="s">
        <v>359</v>
      </c>
      <c r="F745" s="46">
        <f>43030+3770-1664</f>
        <v>45136</v>
      </c>
      <c r="G745" s="46">
        <v>45511.3</v>
      </c>
      <c r="H745" s="46">
        <v>48788.3</v>
      </c>
    </row>
    <row r="746" spans="1:8" s="195" customFormat="1" ht="12" x14ac:dyDescent="0.2">
      <c r="A746" s="29" t="s">
        <v>484</v>
      </c>
      <c r="B746" s="30" t="s">
        <v>404</v>
      </c>
      <c r="C746" s="30" t="s">
        <v>173</v>
      </c>
      <c r="D746" s="30" t="s">
        <v>485</v>
      </c>
      <c r="E746" s="30"/>
      <c r="F746" s="45">
        <f>F747</f>
        <v>290.27006</v>
      </c>
      <c r="G746" s="45">
        <f t="shared" ref="G746:H747" si="200">G747</f>
        <v>290.3</v>
      </c>
      <c r="H746" s="45">
        <f t="shared" si="200"/>
        <v>180.3</v>
      </c>
    </row>
    <row r="747" spans="1:8" s="195" customFormat="1" ht="12" x14ac:dyDescent="0.2">
      <c r="A747" s="35" t="s">
        <v>356</v>
      </c>
      <c r="B747" s="36" t="s">
        <v>404</v>
      </c>
      <c r="C747" s="36" t="s">
        <v>173</v>
      </c>
      <c r="D747" s="36" t="s">
        <v>485</v>
      </c>
      <c r="E747" s="36" t="s">
        <v>357</v>
      </c>
      <c r="F747" s="46">
        <f>F748</f>
        <v>290.27006</v>
      </c>
      <c r="G747" s="46">
        <f t="shared" si="200"/>
        <v>290.3</v>
      </c>
      <c r="H747" s="46">
        <f t="shared" si="200"/>
        <v>180.3</v>
      </c>
    </row>
    <row r="748" spans="1:8" s="195" customFormat="1" ht="12" x14ac:dyDescent="0.2">
      <c r="A748" s="35" t="s">
        <v>358</v>
      </c>
      <c r="B748" s="36" t="s">
        <v>404</v>
      </c>
      <c r="C748" s="36" t="s">
        <v>173</v>
      </c>
      <c r="D748" s="36" t="s">
        <v>485</v>
      </c>
      <c r="E748" s="36" t="s">
        <v>359</v>
      </c>
      <c r="F748" s="46">
        <v>290.27006</v>
      </c>
      <c r="G748" s="46">
        <f>316.8-26.5</f>
        <v>290.3</v>
      </c>
      <c r="H748" s="46">
        <v>180.3</v>
      </c>
    </row>
    <row r="749" spans="1:8" s="195" customFormat="1" ht="12" x14ac:dyDescent="0.2">
      <c r="A749" s="29" t="s">
        <v>486</v>
      </c>
      <c r="B749" s="30" t="s">
        <v>404</v>
      </c>
      <c r="C749" s="30" t="s">
        <v>173</v>
      </c>
      <c r="D749" s="30" t="s">
        <v>487</v>
      </c>
      <c r="E749" s="36"/>
      <c r="F749" s="31">
        <f>F750</f>
        <v>1</v>
      </c>
      <c r="G749" s="31">
        <f t="shared" ref="G749:H750" si="201">G750</f>
        <v>1</v>
      </c>
      <c r="H749" s="31">
        <f t="shared" si="201"/>
        <v>1</v>
      </c>
    </row>
    <row r="750" spans="1:8" s="195" customFormat="1" ht="12" x14ac:dyDescent="0.2">
      <c r="A750" s="35" t="s">
        <v>356</v>
      </c>
      <c r="B750" s="36" t="s">
        <v>404</v>
      </c>
      <c r="C750" s="36" t="s">
        <v>173</v>
      </c>
      <c r="D750" s="36" t="s">
        <v>487</v>
      </c>
      <c r="E750" s="36" t="s">
        <v>357</v>
      </c>
      <c r="F750" s="37">
        <f>F751</f>
        <v>1</v>
      </c>
      <c r="G750" s="37">
        <f t="shared" si="201"/>
        <v>1</v>
      </c>
      <c r="H750" s="37">
        <f t="shared" si="201"/>
        <v>1</v>
      </c>
    </row>
    <row r="751" spans="1:8" s="195" customFormat="1" ht="12" x14ac:dyDescent="0.2">
      <c r="A751" s="35" t="s">
        <v>358</v>
      </c>
      <c r="B751" s="36" t="s">
        <v>404</v>
      </c>
      <c r="C751" s="36" t="s">
        <v>173</v>
      </c>
      <c r="D751" s="36" t="s">
        <v>487</v>
      </c>
      <c r="E751" s="36" t="s">
        <v>359</v>
      </c>
      <c r="F751" s="37">
        <v>1</v>
      </c>
      <c r="G751" s="37">
        <v>1</v>
      </c>
      <c r="H751" s="37">
        <v>1</v>
      </c>
    </row>
    <row r="752" spans="1:8" s="195" customFormat="1" ht="12" x14ac:dyDescent="0.2">
      <c r="A752" s="29" t="s">
        <v>488</v>
      </c>
      <c r="B752" s="30" t="s">
        <v>404</v>
      </c>
      <c r="C752" s="30" t="s">
        <v>177</v>
      </c>
      <c r="D752" s="30"/>
      <c r="E752" s="30"/>
      <c r="F752" s="31">
        <f>F753+F760+F771+F786</f>
        <v>9419.4379099999987</v>
      </c>
      <c r="G752" s="31">
        <f>G753+G760+G771+G786</f>
        <v>28182.073</v>
      </c>
      <c r="H752" s="31">
        <f>H753+H760+H771+H786</f>
        <v>26413.5</v>
      </c>
    </row>
    <row r="753" spans="1:8" s="195" customFormat="1" ht="12" x14ac:dyDescent="0.2">
      <c r="A753" s="39" t="s">
        <v>516</v>
      </c>
      <c r="B753" s="40" t="s">
        <v>404</v>
      </c>
      <c r="C753" s="40" t="s">
        <v>177</v>
      </c>
      <c r="D753" s="43" t="s">
        <v>511</v>
      </c>
      <c r="E753" s="40"/>
      <c r="F753" s="41">
        <f>F754+F757</f>
        <v>680.33900000000006</v>
      </c>
      <c r="G753" s="41">
        <f>G754+G757</f>
        <v>1771.5730000000001</v>
      </c>
      <c r="H753" s="41">
        <f>H754+H757</f>
        <v>3</v>
      </c>
    </row>
    <row r="754" spans="1:8" s="195" customFormat="1" ht="12" x14ac:dyDescent="0.2">
      <c r="A754" s="29" t="s">
        <v>544</v>
      </c>
      <c r="B754" s="30" t="s">
        <v>404</v>
      </c>
      <c r="C754" s="30" t="s">
        <v>177</v>
      </c>
      <c r="D754" s="30" t="s">
        <v>545</v>
      </c>
      <c r="E754" s="30"/>
      <c r="F754" s="45">
        <f>F755</f>
        <v>677.33900000000006</v>
      </c>
      <c r="G754" s="45">
        <f t="shared" ref="G754:H755" si="202">G755</f>
        <v>1768.5730000000001</v>
      </c>
      <c r="H754" s="45">
        <f t="shared" si="202"/>
        <v>0</v>
      </c>
    </row>
    <row r="755" spans="1:8" s="195" customFormat="1" ht="12" x14ac:dyDescent="0.2">
      <c r="A755" s="35" t="s">
        <v>195</v>
      </c>
      <c r="B755" s="36" t="s">
        <v>404</v>
      </c>
      <c r="C755" s="36" t="s">
        <v>177</v>
      </c>
      <c r="D755" s="36" t="s">
        <v>545</v>
      </c>
      <c r="E755" s="36" t="s">
        <v>196</v>
      </c>
      <c r="F755" s="46">
        <f>F756</f>
        <v>677.33900000000006</v>
      </c>
      <c r="G755" s="46">
        <f t="shared" si="202"/>
        <v>1768.5730000000001</v>
      </c>
      <c r="H755" s="46">
        <f t="shared" si="202"/>
        <v>0</v>
      </c>
    </row>
    <row r="756" spans="1:8" s="195" customFormat="1" ht="12" x14ac:dyDescent="0.2">
      <c r="A756" s="35" t="s">
        <v>197</v>
      </c>
      <c r="B756" s="36" t="s">
        <v>404</v>
      </c>
      <c r="C756" s="36" t="s">
        <v>177</v>
      </c>
      <c r="D756" s="36" t="s">
        <v>545</v>
      </c>
      <c r="E756" s="36" t="s">
        <v>198</v>
      </c>
      <c r="F756" s="46">
        <v>677.33900000000006</v>
      </c>
      <c r="G756" s="46">
        <v>1768.5730000000001</v>
      </c>
      <c r="H756" s="46">
        <v>0</v>
      </c>
    </row>
    <row r="757" spans="1:8" s="195" customFormat="1" ht="12" x14ac:dyDescent="0.2">
      <c r="A757" s="29" t="s">
        <v>546</v>
      </c>
      <c r="B757" s="30" t="s">
        <v>404</v>
      </c>
      <c r="C757" s="30" t="s">
        <v>177</v>
      </c>
      <c r="D757" s="30" t="s">
        <v>547</v>
      </c>
      <c r="E757" s="30"/>
      <c r="F757" s="31">
        <f>F758</f>
        <v>3</v>
      </c>
      <c r="G757" s="31">
        <f t="shared" ref="G757:H758" si="203">G758</f>
        <v>3</v>
      </c>
      <c r="H757" s="31">
        <f t="shared" si="203"/>
        <v>3</v>
      </c>
    </row>
    <row r="758" spans="1:8" s="195" customFormat="1" ht="12" x14ac:dyDescent="0.2">
      <c r="A758" s="35" t="s">
        <v>195</v>
      </c>
      <c r="B758" s="36" t="s">
        <v>404</v>
      </c>
      <c r="C758" s="36" t="s">
        <v>177</v>
      </c>
      <c r="D758" s="36" t="s">
        <v>547</v>
      </c>
      <c r="E758" s="36" t="s">
        <v>196</v>
      </c>
      <c r="F758" s="37">
        <f>F759</f>
        <v>3</v>
      </c>
      <c r="G758" s="37">
        <f t="shared" si="203"/>
        <v>3</v>
      </c>
      <c r="H758" s="37">
        <f t="shared" si="203"/>
        <v>3</v>
      </c>
    </row>
    <row r="759" spans="1:8" s="195" customFormat="1" ht="12" x14ac:dyDescent="0.2">
      <c r="A759" s="35" t="s">
        <v>197</v>
      </c>
      <c r="B759" s="36" t="s">
        <v>404</v>
      </c>
      <c r="C759" s="36" t="s">
        <v>177</v>
      </c>
      <c r="D759" s="36" t="s">
        <v>547</v>
      </c>
      <c r="E759" s="36" t="s">
        <v>198</v>
      </c>
      <c r="F759" s="37">
        <v>3</v>
      </c>
      <c r="G759" s="37">
        <v>3</v>
      </c>
      <c r="H759" s="37">
        <v>3</v>
      </c>
    </row>
    <row r="760" spans="1:8" s="195" customFormat="1" ht="12" x14ac:dyDescent="0.2">
      <c r="A760" s="39" t="s">
        <v>439</v>
      </c>
      <c r="B760" s="40" t="s">
        <v>404</v>
      </c>
      <c r="C760" s="40" t="s">
        <v>177</v>
      </c>
      <c r="D760" s="40" t="s">
        <v>440</v>
      </c>
      <c r="E760" s="40"/>
      <c r="F760" s="41">
        <f>F761</f>
        <v>8418.9179999999997</v>
      </c>
      <c r="G760" s="41">
        <f t="shared" ref="G760:H761" si="204">G761</f>
        <v>6410.5</v>
      </c>
      <c r="H760" s="41">
        <f t="shared" si="204"/>
        <v>6410.5</v>
      </c>
    </row>
    <row r="761" spans="1:8" s="195" customFormat="1" ht="12" x14ac:dyDescent="0.2">
      <c r="A761" s="39" t="s">
        <v>489</v>
      </c>
      <c r="B761" s="40" t="s">
        <v>404</v>
      </c>
      <c r="C761" s="40" t="s">
        <v>177</v>
      </c>
      <c r="D761" s="40" t="s">
        <v>490</v>
      </c>
      <c r="E761" s="40"/>
      <c r="F761" s="41">
        <f>F762</f>
        <v>8418.9179999999997</v>
      </c>
      <c r="G761" s="41">
        <f t="shared" si="204"/>
        <v>6410.5</v>
      </c>
      <c r="H761" s="41">
        <f t="shared" si="204"/>
        <v>6410.5</v>
      </c>
    </row>
    <row r="762" spans="1:8" s="195" customFormat="1" ht="12" x14ac:dyDescent="0.2">
      <c r="A762" s="29" t="s">
        <v>491</v>
      </c>
      <c r="B762" s="30" t="s">
        <v>404</v>
      </c>
      <c r="C762" s="30" t="s">
        <v>177</v>
      </c>
      <c r="D762" s="30" t="s">
        <v>490</v>
      </c>
      <c r="E762" s="30"/>
      <c r="F762" s="31">
        <f>F763+F766</f>
        <v>8418.9179999999997</v>
      </c>
      <c r="G762" s="31">
        <f>G763+G766</f>
        <v>6410.5</v>
      </c>
      <c r="H762" s="31">
        <f>H763+H766</f>
        <v>6410.5</v>
      </c>
    </row>
    <row r="763" spans="1:8" s="195" customFormat="1" ht="12" x14ac:dyDescent="0.2">
      <c r="A763" s="29" t="s">
        <v>492</v>
      </c>
      <c r="B763" s="30" t="s">
        <v>404</v>
      </c>
      <c r="C763" s="30" t="s">
        <v>177</v>
      </c>
      <c r="D763" s="30" t="s">
        <v>493</v>
      </c>
      <c r="E763" s="30"/>
      <c r="F763" s="31">
        <f>F764</f>
        <v>7480.4880000000003</v>
      </c>
      <c r="G763" s="31">
        <f t="shared" ref="G763:H764" si="205">G764</f>
        <v>5504.5</v>
      </c>
      <c r="H763" s="31">
        <f t="shared" si="205"/>
        <v>5504.5</v>
      </c>
    </row>
    <row r="764" spans="1:8" s="195" customFormat="1" ht="24" x14ac:dyDescent="0.2">
      <c r="A764" s="35" t="s">
        <v>185</v>
      </c>
      <c r="B764" s="36" t="s">
        <v>404</v>
      </c>
      <c r="C764" s="36" t="s">
        <v>177</v>
      </c>
      <c r="D764" s="36" t="s">
        <v>493</v>
      </c>
      <c r="E764" s="36" t="s">
        <v>186</v>
      </c>
      <c r="F764" s="37">
        <f>F765</f>
        <v>7480.4880000000003</v>
      </c>
      <c r="G764" s="37">
        <f t="shared" si="205"/>
        <v>5504.5</v>
      </c>
      <c r="H764" s="37">
        <f t="shared" si="205"/>
        <v>5504.5</v>
      </c>
    </row>
    <row r="765" spans="1:8" s="195" customFormat="1" ht="12" x14ac:dyDescent="0.2">
      <c r="A765" s="35" t="s">
        <v>187</v>
      </c>
      <c r="B765" s="36" t="s">
        <v>404</v>
      </c>
      <c r="C765" s="36" t="s">
        <v>177</v>
      </c>
      <c r="D765" s="36" t="s">
        <v>493</v>
      </c>
      <c r="E765" s="36" t="s">
        <v>188</v>
      </c>
      <c r="F765" s="37">
        <f>4101+1238.5+165+1975.988</f>
        <v>7480.4880000000003</v>
      </c>
      <c r="G765" s="37">
        <f t="shared" ref="G765:H765" si="206">4101+1238.5+165</f>
        <v>5504.5</v>
      </c>
      <c r="H765" s="37">
        <f t="shared" si="206"/>
        <v>5504.5</v>
      </c>
    </row>
    <row r="766" spans="1:8" s="195" customFormat="1" ht="12" x14ac:dyDescent="0.2">
      <c r="A766" s="29" t="s">
        <v>193</v>
      </c>
      <c r="B766" s="30" t="s">
        <v>404</v>
      </c>
      <c r="C766" s="30" t="s">
        <v>177</v>
      </c>
      <c r="D766" s="30" t="s">
        <v>494</v>
      </c>
      <c r="E766" s="30"/>
      <c r="F766" s="31">
        <f>F767+F769</f>
        <v>938.43</v>
      </c>
      <c r="G766" s="31">
        <f>G767+G769</f>
        <v>906</v>
      </c>
      <c r="H766" s="31">
        <f>H767+H769</f>
        <v>906</v>
      </c>
    </row>
    <row r="767" spans="1:8" s="195" customFormat="1" ht="12" x14ac:dyDescent="0.2">
      <c r="A767" s="35" t="s">
        <v>195</v>
      </c>
      <c r="B767" s="36" t="s">
        <v>404</v>
      </c>
      <c r="C767" s="36" t="s">
        <v>177</v>
      </c>
      <c r="D767" s="36" t="s">
        <v>494</v>
      </c>
      <c r="E767" s="36" t="s">
        <v>196</v>
      </c>
      <c r="F767" s="37">
        <f>F768</f>
        <v>888.43</v>
      </c>
      <c r="G767" s="37">
        <f t="shared" ref="G767:H767" si="207">G768</f>
        <v>856</v>
      </c>
      <c r="H767" s="37">
        <f t="shared" si="207"/>
        <v>856</v>
      </c>
    </row>
    <row r="768" spans="1:8" s="195" customFormat="1" ht="12" x14ac:dyDescent="0.2">
      <c r="A768" s="35" t="s">
        <v>197</v>
      </c>
      <c r="B768" s="36" t="s">
        <v>404</v>
      </c>
      <c r="C768" s="36" t="s">
        <v>177</v>
      </c>
      <c r="D768" s="36" t="s">
        <v>494</v>
      </c>
      <c r="E768" s="36" t="s">
        <v>198</v>
      </c>
      <c r="F768" s="37">
        <f>100+70+210+376+100+32.43</f>
        <v>888.43</v>
      </c>
      <c r="G768" s="37">
        <f>100+70+210+376+100</f>
        <v>856</v>
      </c>
      <c r="H768" s="37">
        <f>100+70+210+376+100</f>
        <v>856</v>
      </c>
    </row>
    <row r="769" spans="1:8" s="195" customFormat="1" ht="12" x14ac:dyDescent="0.2">
      <c r="A769" s="35" t="s">
        <v>199</v>
      </c>
      <c r="B769" s="36" t="s">
        <v>404</v>
      </c>
      <c r="C769" s="36" t="s">
        <v>177</v>
      </c>
      <c r="D769" s="36" t="s">
        <v>494</v>
      </c>
      <c r="E769" s="36" t="s">
        <v>200</v>
      </c>
      <c r="F769" s="37">
        <f>F770</f>
        <v>50</v>
      </c>
      <c r="G769" s="37">
        <f t="shared" ref="G769:H769" si="208">G770</f>
        <v>50</v>
      </c>
      <c r="H769" s="37">
        <f t="shared" si="208"/>
        <v>50</v>
      </c>
    </row>
    <row r="770" spans="1:8" s="195" customFormat="1" ht="12" x14ac:dyDescent="0.2">
      <c r="A770" s="35" t="s">
        <v>201</v>
      </c>
      <c r="B770" s="36" t="s">
        <v>404</v>
      </c>
      <c r="C770" s="36" t="s">
        <v>177</v>
      </c>
      <c r="D770" s="36" t="s">
        <v>494</v>
      </c>
      <c r="E770" s="36" t="s">
        <v>202</v>
      </c>
      <c r="F770" s="37">
        <v>50</v>
      </c>
      <c r="G770" s="37">
        <v>50</v>
      </c>
      <c r="H770" s="37">
        <v>50</v>
      </c>
    </row>
    <row r="771" spans="1:8" s="195" customFormat="1" ht="12" x14ac:dyDescent="0.2">
      <c r="A771" s="39" t="s">
        <v>551</v>
      </c>
      <c r="B771" s="40" t="s">
        <v>404</v>
      </c>
      <c r="C771" s="40" t="s">
        <v>177</v>
      </c>
      <c r="D771" s="40" t="s">
        <v>552</v>
      </c>
      <c r="E771" s="40"/>
      <c r="F771" s="47">
        <f>F772+F775+F778+F781</f>
        <v>100</v>
      </c>
      <c r="G771" s="47">
        <f>G772+G775+G778+G781</f>
        <v>20000</v>
      </c>
      <c r="H771" s="47">
        <f>H772+H775+H778+H781</f>
        <v>20000</v>
      </c>
    </row>
    <row r="772" spans="1:8" s="195" customFormat="1" ht="12" x14ac:dyDescent="0.2">
      <c r="A772" s="29" t="s">
        <v>574</v>
      </c>
      <c r="B772" s="30" t="s">
        <v>404</v>
      </c>
      <c r="C772" s="30" t="s">
        <v>177</v>
      </c>
      <c r="D772" s="30" t="s">
        <v>575</v>
      </c>
      <c r="E772" s="30"/>
      <c r="F772" s="45">
        <f>F773</f>
        <v>0</v>
      </c>
      <c r="G772" s="45">
        <f t="shared" ref="G772:H773" si="209">G773</f>
        <v>8000</v>
      </c>
      <c r="H772" s="45">
        <f t="shared" si="209"/>
        <v>10000</v>
      </c>
    </row>
    <row r="773" spans="1:8" s="195" customFormat="1" ht="12" x14ac:dyDescent="0.2">
      <c r="A773" s="35" t="s">
        <v>195</v>
      </c>
      <c r="B773" s="36" t="s">
        <v>404</v>
      </c>
      <c r="C773" s="36" t="s">
        <v>177</v>
      </c>
      <c r="D773" s="36" t="s">
        <v>575</v>
      </c>
      <c r="E773" s="36" t="s">
        <v>196</v>
      </c>
      <c r="F773" s="46">
        <f>F774</f>
        <v>0</v>
      </c>
      <c r="G773" s="46">
        <f t="shared" si="209"/>
        <v>8000</v>
      </c>
      <c r="H773" s="46">
        <f t="shared" si="209"/>
        <v>10000</v>
      </c>
    </row>
    <row r="774" spans="1:8" s="195" customFormat="1" ht="12" x14ac:dyDescent="0.2">
      <c r="A774" s="35" t="s">
        <v>197</v>
      </c>
      <c r="B774" s="36" t="s">
        <v>404</v>
      </c>
      <c r="C774" s="36" t="s">
        <v>177</v>
      </c>
      <c r="D774" s="36" t="s">
        <v>575</v>
      </c>
      <c r="E774" s="36" t="s">
        <v>198</v>
      </c>
      <c r="F774" s="46">
        <v>0</v>
      </c>
      <c r="G774" s="46">
        <f>10000-2000</f>
        <v>8000</v>
      </c>
      <c r="H774" s="46">
        <v>10000</v>
      </c>
    </row>
    <row r="775" spans="1:8" s="195" customFormat="1" ht="12" x14ac:dyDescent="0.2">
      <c r="A775" s="29" t="s">
        <v>576</v>
      </c>
      <c r="B775" s="30" t="s">
        <v>404</v>
      </c>
      <c r="C775" s="30" t="s">
        <v>177</v>
      </c>
      <c r="D775" s="30" t="s">
        <v>577</v>
      </c>
      <c r="E775" s="30"/>
      <c r="F775" s="45">
        <f>F776</f>
        <v>0</v>
      </c>
      <c r="G775" s="45">
        <f t="shared" ref="G775:H776" si="210">G776</f>
        <v>8000</v>
      </c>
      <c r="H775" s="45">
        <f t="shared" si="210"/>
        <v>10000</v>
      </c>
    </row>
    <row r="776" spans="1:8" s="195" customFormat="1" ht="12" x14ac:dyDescent="0.2">
      <c r="A776" s="35" t="s">
        <v>195</v>
      </c>
      <c r="B776" s="36" t="s">
        <v>404</v>
      </c>
      <c r="C776" s="36" t="s">
        <v>177</v>
      </c>
      <c r="D776" s="36" t="s">
        <v>577</v>
      </c>
      <c r="E776" s="36" t="s">
        <v>196</v>
      </c>
      <c r="F776" s="46">
        <f>F777</f>
        <v>0</v>
      </c>
      <c r="G776" s="46">
        <f t="shared" si="210"/>
        <v>8000</v>
      </c>
      <c r="H776" s="46">
        <f t="shared" si="210"/>
        <v>10000</v>
      </c>
    </row>
    <row r="777" spans="1:8" s="195" customFormat="1" ht="12" x14ac:dyDescent="0.2">
      <c r="A777" s="35" t="s">
        <v>197</v>
      </c>
      <c r="B777" s="36" t="s">
        <v>404</v>
      </c>
      <c r="C777" s="36" t="s">
        <v>177</v>
      </c>
      <c r="D777" s="36" t="s">
        <v>577</v>
      </c>
      <c r="E777" s="36" t="s">
        <v>198</v>
      </c>
      <c r="F777" s="46">
        <v>0</v>
      </c>
      <c r="G777" s="46">
        <f>10000-2000</f>
        <v>8000</v>
      </c>
      <c r="H777" s="46">
        <f>20000-10000</f>
        <v>10000</v>
      </c>
    </row>
    <row r="778" spans="1:8" s="195" customFormat="1" ht="24" x14ac:dyDescent="0.2">
      <c r="A778" s="29" t="s">
        <v>578</v>
      </c>
      <c r="B778" s="30" t="s">
        <v>404</v>
      </c>
      <c r="C778" s="30" t="s">
        <v>177</v>
      </c>
      <c r="D778" s="30" t="s">
        <v>579</v>
      </c>
      <c r="E778" s="30"/>
      <c r="F778" s="45">
        <f>F779</f>
        <v>0</v>
      </c>
      <c r="G778" s="45">
        <f t="shared" ref="G778:H779" si="211">G779</f>
        <v>2500</v>
      </c>
      <c r="H778" s="45">
        <f t="shared" si="211"/>
        <v>0</v>
      </c>
    </row>
    <row r="779" spans="1:8" s="195" customFormat="1" ht="12" x14ac:dyDescent="0.2">
      <c r="A779" s="35" t="s">
        <v>344</v>
      </c>
      <c r="B779" s="36" t="s">
        <v>404</v>
      </c>
      <c r="C779" s="36" t="s">
        <v>177</v>
      </c>
      <c r="D779" s="36" t="s">
        <v>579</v>
      </c>
      <c r="E779" s="36" t="s">
        <v>345</v>
      </c>
      <c r="F779" s="46">
        <f>F780</f>
        <v>0</v>
      </c>
      <c r="G779" s="46">
        <f t="shared" si="211"/>
        <v>2500</v>
      </c>
      <c r="H779" s="46">
        <f t="shared" si="211"/>
        <v>0</v>
      </c>
    </row>
    <row r="780" spans="1:8" s="195" customFormat="1" ht="12" x14ac:dyDescent="0.2">
      <c r="A780" s="35" t="s">
        <v>346</v>
      </c>
      <c r="B780" s="36" t="s">
        <v>404</v>
      </c>
      <c r="C780" s="36" t="s">
        <v>177</v>
      </c>
      <c r="D780" s="36" t="s">
        <v>579</v>
      </c>
      <c r="E780" s="36" t="s">
        <v>347</v>
      </c>
      <c r="F780" s="46">
        <v>0</v>
      </c>
      <c r="G780" s="46">
        <v>2500</v>
      </c>
      <c r="H780" s="46">
        <v>0</v>
      </c>
    </row>
    <row r="781" spans="1:8" s="195" customFormat="1" ht="12" x14ac:dyDescent="0.2">
      <c r="A781" s="50" t="s">
        <v>555</v>
      </c>
      <c r="B781" s="30" t="s">
        <v>404</v>
      </c>
      <c r="C781" s="30" t="s">
        <v>177</v>
      </c>
      <c r="D781" s="30" t="s">
        <v>556</v>
      </c>
      <c r="E781" s="30"/>
      <c r="F781" s="45">
        <f>F784+F782</f>
        <v>100</v>
      </c>
      <c r="G781" s="45">
        <f>G784+G782</f>
        <v>1500</v>
      </c>
      <c r="H781" s="45">
        <f>H784</f>
        <v>0</v>
      </c>
    </row>
    <row r="782" spans="1:8" s="195" customFormat="1" ht="12" x14ac:dyDescent="0.2">
      <c r="A782" s="35" t="s">
        <v>195</v>
      </c>
      <c r="B782" s="36" t="s">
        <v>404</v>
      </c>
      <c r="C782" s="36" t="s">
        <v>177</v>
      </c>
      <c r="D782" s="36" t="s">
        <v>556</v>
      </c>
      <c r="E782" s="36" t="s">
        <v>196</v>
      </c>
      <c r="F782" s="37">
        <f>F783</f>
        <v>38</v>
      </c>
      <c r="G782" s="46">
        <f>G783</f>
        <v>0</v>
      </c>
      <c r="H782" s="46">
        <f>H783</f>
        <v>0</v>
      </c>
    </row>
    <row r="783" spans="1:8" s="195" customFormat="1" ht="12" x14ac:dyDescent="0.2">
      <c r="A783" s="35" t="s">
        <v>197</v>
      </c>
      <c r="B783" s="36" t="s">
        <v>404</v>
      </c>
      <c r="C783" s="36" t="s">
        <v>177</v>
      </c>
      <c r="D783" s="36" t="s">
        <v>556</v>
      </c>
      <c r="E783" s="36" t="s">
        <v>198</v>
      </c>
      <c r="F783" s="37">
        <v>38</v>
      </c>
      <c r="G783" s="46">
        <v>0</v>
      </c>
      <c r="H783" s="46">
        <v>0</v>
      </c>
    </row>
    <row r="784" spans="1:8" s="195" customFormat="1" ht="12" x14ac:dyDescent="0.2">
      <c r="A784" s="35" t="s">
        <v>344</v>
      </c>
      <c r="B784" s="36" t="s">
        <v>404</v>
      </c>
      <c r="C784" s="36" t="s">
        <v>177</v>
      </c>
      <c r="D784" s="36" t="s">
        <v>556</v>
      </c>
      <c r="E784" s="36" t="s">
        <v>345</v>
      </c>
      <c r="F784" s="46">
        <f>F785</f>
        <v>62</v>
      </c>
      <c r="G784" s="46">
        <f t="shared" ref="G784:H784" si="212">G785</f>
        <v>1500</v>
      </c>
      <c r="H784" s="46">
        <f t="shared" si="212"/>
        <v>0</v>
      </c>
    </row>
    <row r="785" spans="1:8" s="195" customFormat="1" ht="12" x14ac:dyDescent="0.2">
      <c r="A785" s="35" t="s">
        <v>346</v>
      </c>
      <c r="B785" s="36" t="s">
        <v>404</v>
      </c>
      <c r="C785" s="36" t="s">
        <v>177</v>
      </c>
      <c r="D785" s="36" t="s">
        <v>556</v>
      </c>
      <c r="E785" s="36" t="s">
        <v>347</v>
      </c>
      <c r="F785" s="46">
        <f>100-38</f>
        <v>62</v>
      </c>
      <c r="G785" s="46">
        <v>1500</v>
      </c>
      <c r="H785" s="46">
        <v>0</v>
      </c>
    </row>
    <row r="786" spans="1:8" s="195" customFormat="1" ht="12" x14ac:dyDescent="0.2">
      <c r="A786" s="129" t="s">
        <v>178</v>
      </c>
      <c r="B786" s="83" t="s">
        <v>404</v>
      </c>
      <c r="C786" s="83" t="s">
        <v>177</v>
      </c>
      <c r="D786" s="83" t="s">
        <v>189</v>
      </c>
      <c r="E786" s="12"/>
      <c r="F786" s="145">
        <f t="shared" ref="F786:H789" si="213">F787</f>
        <v>220.18091000000001</v>
      </c>
      <c r="G786" s="247">
        <f t="shared" si="213"/>
        <v>0</v>
      </c>
      <c r="H786" s="247">
        <f t="shared" si="213"/>
        <v>0</v>
      </c>
    </row>
    <row r="787" spans="1:8" s="195" customFormat="1" ht="12" x14ac:dyDescent="0.2">
      <c r="A787" s="75" t="s">
        <v>180</v>
      </c>
      <c r="B787" s="74" t="s">
        <v>404</v>
      </c>
      <c r="C787" s="74" t="s">
        <v>177</v>
      </c>
      <c r="D787" s="74" t="s">
        <v>190</v>
      </c>
      <c r="E787" s="12"/>
      <c r="F787" s="127">
        <f t="shared" si="213"/>
        <v>220.18091000000001</v>
      </c>
      <c r="G787" s="248">
        <f t="shared" si="213"/>
        <v>0</v>
      </c>
      <c r="H787" s="248">
        <f t="shared" si="213"/>
        <v>0</v>
      </c>
    </row>
    <row r="788" spans="1:8" s="195" customFormat="1" ht="12" x14ac:dyDescent="0.2">
      <c r="A788" s="75" t="s">
        <v>203</v>
      </c>
      <c r="B788" s="74" t="s">
        <v>404</v>
      </c>
      <c r="C788" s="74" t="s">
        <v>177</v>
      </c>
      <c r="D788" s="74" t="s">
        <v>204</v>
      </c>
      <c r="E788" s="74"/>
      <c r="F788" s="127">
        <f t="shared" si="213"/>
        <v>220.18091000000001</v>
      </c>
      <c r="G788" s="248">
        <f t="shared" si="213"/>
        <v>0</v>
      </c>
      <c r="H788" s="248">
        <f t="shared" si="213"/>
        <v>0</v>
      </c>
    </row>
    <row r="789" spans="1:8" s="195" customFormat="1" ht="24" x14ac:dyDescent="0.2">
      <c r="A789" s="73" t="s">
        <v>185</v>
      </c>
      <c r="B789" s="12" t="s">
        <v>404</v>
      </c>
      <c r="C789" s="12" t="s">
        <v>177</v>
      </c>
      <c r="D789" s="12" t="s">
        <v>204</v>
      </c>
      <c r="E789" s="12" t="s">
        <v>186</v>
      </c>
      <c r="F789" s="115">
        <f t="shared" si="213"/>
        <v>220.18091000000001</v>
      </c>
      <c r="G789" s="249">
        <f t="shared" si="213"/>
        <v>0</v>
      </c>
      <c r="H789" s="249">
        <f t="shared" si="213"/>
        <v>0</v>
      </c>
    </row>
    <row r="790" spans="1:8" s="195" customFormat="1" ht="12" x14ac:dyDescent="0.2">
      <c r="A790" s="73" t="s">
        <v>187</v>
      </c>
      <c r="B790" s="12" t="s">
        <v>404</v>
      </c>
      <c r="C790" s="12" t="s">
        <v>177</v>
      </c>
      <c r="D790" s="12" t="s">
        <v>204</v>
      </c>
      <c r="E790" s="12" t="s">
        <v>188</v>
      </c>
      <c r="F790" s="115">
        <v>220.18091000000001</v>
      </c>
      <c r="G790" s="249">
        <v>0</v>
      </c>
      <c r="H790" s="249">
        <v>0</v>
      </c>
    </row>
    <row r="791" spans="1:8" s="195" customFormat="1" ht="12" x14ac:dyDescent="0.2">
      <c r="A791" s="29" t="s">
        <v>321</v>
      </c>
      <c r="B791" s="30" t="s">
        <v>284</v>
      </c>
      <c r="C791" s="30" t="s">
        <v>174</v>
      </c>
      <c r="D791" s="36"/>
      <c r="E791" s="36"/>
      <c r="F791" s="45">
        <f>F792+F798+F832</f>
        <v>166168.5613</v>
      </c>
      <c r="G791" s="45">
        <f>G792+G798+G832</f>
        <v>65369.7</v>
      </c>
      <c r="H791" s="45">
        <f>H792+H798+H832</f>
        <v>51519.5</v>
      </c>
    </row>
    <row r="792" spans="1:8" s="195" customFormat="1" ht="12" x14ac:dyDescent="0.2">
      <c r="A792" s="29" t="s">
        <v>322</v>
      </c>
      <c r="B792" s="30" t="s">
        <v>284</v>
      </c>
      <c r="C792" s="30" t="s">
        <v>173</v>
      </c>
      <c r="D792" s="30" t="s">
        <v>189</v>
      </c>
      <c r="E792" s="30"/>
      <c r="F792" s="31">
        <f>F793</f>
        <v>28879.5</v>
      </c>
      <c r="G792" s="31">
        <f t="shared" ref="G792:H796" si="214">G793</f>
        <v>28879.5</v>
      </c>
      <c r="H792" s="31">
        <f t="shared" si="214"/>
        <v>28879.5</v>
      </c>
    </row>
    <row r="793" spans="1:8" s="195" customFormat="1" ht="12" x14ac:dyDescent="0.2">
      <c r="A793" s="39" t="s">
        <v>285</v>
      </c>
      <c r="B793" s="40" t="s">
        <v>284</v>
      </c>
      <c r="C793" s="40" t="s">
        <v>173</v>
      </c>
      <c r="D793" s="40" t="s">
        <v>189</v>
      </c>
      <c r="E793" s="30"/>
      <c r="F793" s="41">
        <f>F794</f>
        <v>28879.5</v>
      </c>
      <c r="G793" s="41">
        <f t="shared" si="214"/>
        <v>28879.5</v>
      </c>
      <c r="H793" s="41">
        <f t="shared" si="214"/>
        <v>28879.5</v>
      </c>
    </row>
    <row r="794" spans="1:8" s="195" customFormat="1" ht="12" x14ac:dyDescent="0.2">
      <c r="A794" s="29" t="s">
        <v>180</v>
      </c>
      <c r="B794" s="30" t="s">
        <v>284</v>
      </c>
      <c r="C794" s="30" t="s">
        <v>173</v>
      </c>
      <c r="D794" s="30" t="s">
        <v>190</v>
      </c>
      <c r="E794" s="30"/>
      <c r="F794" s="31">
        <f>F795</f>
        <v>28879.5</v>
      </c>
      <c r="G794" s="31">
        <f t="shared" si="214"/>
        <v>28879.5</v>
      </c>
      <c r="H794" s="31">
        <f t="shared" si="214"/>
        <v>28879.5</v>
      </c>
    </row>
    <row r="795" spans="1:8" s="195" customFormat="1" ht="24" x14ac:dyDescent="0.2">
      <c r="A795" s="29" t="s">
        <v>323</v>
      </c>
      <c r="B795" s="30" t="s">
        <v>284</v>
      </c>
      <c r="C795" s="30" t="s">
        <v>173</v>
      </c>
      <c r="D795" s="30" t="s">
        <v>324</v>
      </c>
      <c r="E795" s="30"/>
      <c r="F795" s="31">
        <f>F796</f>
        <v>28879.5</v>
      </c>
      <c r="G795" s="31">
        <f t="shared" si="214"/>
        <v>28879.5</v>
      </c>
      <c r="H795" s="31">
        <f t="shared" si="214"/>
        <v>28879.5</v>
      </c>
    </row>
    <row r="796" spans="1:8" s="195" customFormat="1" ht="12" x14ac:dyDescent="0.2">
      <c r="A796" s="35" t="s">
        <v>325</v>
      </c>
      <c r="B796" s="36" t="s">
        <v>284</v>
      </c>
      <c r="C796" s="36" t="s">
        <v>173</v>
      </c>
      <c r="D796" s="36" t="s">
        <v>324</v>
      </c>
      <c r="E796" s="36" t="s">
        <v>326</v>
      </c>
      <c r="F796" s="37">
        <f>F797</f>
        <v>28879.5</v>
      </c>
      <c r="G796" s="37">
        <f t="shared" si="214"/>
        <v>28879.5</v>
      </c>
      <c r="H796" s="37">
        <f t="shared" si="214"/>
        <v>28879.5</v>
      </c>
    </row>
    <row r="797" spans="1:8" s="195" customFormat="1" ht="12" x14ac:dyDescent="0.2">
      <c r="A797" s="35" t="s">
        <v>327</v>
      </c>
      <c r="B797" s="36" t="s">
        <v>284</v>
      </c>
      <c r="C797" s="36" t="s">
        <v>173</v>
      </c>
      <c r="D797" s="36" t="s">
        <v>324</v>
      </c>
      <c r="E797" s="36" t="s">
        <v>328</v>
      </c>
      <c r="F797" s="37">
        <v>28879.5</v>
      </c>
      <c r="G797" s="37">
        <v>28879.5</v>
      </c>
      <c r="H797" s="37">
        <v>28879.5</v>
      </c>
    </row>
    <row r="798" spans="1:8" s="192" customFormat="1" x14ac:dyDescent="0.2">
      <c r="A798" s="29" t="s">
        <v>329</v>
      </c>
      <c r="B798" s="30" t="s">
        <v>284</v>
      </c>
      <c r="C798" s="30" t="s">
        <v>283</v>
      </c>
      <c r="D798" s="30"/>
      <c r="E798" s="30"/>
      <c r="F798" s="31">
        <f>F799+F803+F812</f>
        <v>119789.0613</v>
      </c>
      <c r="G798" s="31">
        <f>G799+G803+G812</f>
        <v>18990.2</v>
      </c>
      <c r="H798" s="31">
        <f>H799+H803+H812</f>
        <v>5140</v>
      </c>
    </row>
    <row r="799" spans="1:8" s="192" customFormat="1" ht="24" x14ac:dyDescent="0.2">
      <c r="A799" s="39" t="s">
        <v>330</v>
      </c>
      <c r="B799" s="40" t="s">
        <v>284</v>
      </c>
      <c r="C799" s="40" t="s">
        <v>283</v>
      </c>
      <c r="D799" s="43" t="s">
        <v>331</v>
      </c>
      <c r="E799" s="40"/>
      <c r="F799" s="41">
        <f>F800</f>
        <v>1500</v>
      </c>
      <c r="G799" s="41">
        <f t="shared" ref="G799:H801" si="215">G800</f>
        <v>1500</v>
      </c>
      <c r="H799" s="41">
        <f t="shared" si="215"/>
        <v>1500</v>
      </c>
    </row>
    <row r="800" spans="1:8" s="192" customFormat="1" ht="24" x14ac:dyDescent="0.2">
      <c r="A800" s="50" t="s">
        <v>332</v>
      </c>
      <c r="B800" s="30" t="s">
        <v>284</v>
      </c>
      <c r="C800" s="30" t="s">
        <v>283</v>
      </c>
      <c r="D800" s="51" t="s">
        <v>333</v>
      </c>
      <c r="E800" s="30"/>
      <c r="F800" s="31">
        <f>F801</f>
        <v>1500</v>
      </c>
      <c r="G800" s="31">
        <f t="shared" si="215"/>
        <v>1500</v>
      </c>
      <c r="H800" s="31">
        <f t="shared" si="215"/>
        <v>1500</v>
      </c>
    </row>
    <row r="801" spans="1:8" s="192" customFormat="1" x14ac:dyDescent="0.2">
      <c r="A801" s="35" t="s">
        <v>325</v>
      </c>
      <c r="B801" s="36" t="s">
        <v>284</v>
      </c>
      <c r="C801" s="36" t="s">
        <v>283</v>
      </c>
      <c r="D801" s="44" t="s">
        <v>333</v>
      </c>
      <c r="E801" s="36" t="s">
        <v>326</v>
      </c>
      <c r="F801" s="37">
        <f>F802</f>
        <v>1500</v>
      </c>
      <c r="G801" s="37">
        <f t="shared" si="215"/>
        <v>1500</v>
      </c>
      <c r="H801" s="37">
        <f t="shared" si="215"/>
        <v>1500</v>
      </c>
    </row>
    <row r="802" spans="1:8" s="192" customFormat="1" x14ac:dyDescent="0.2">
      <c r="A802" s="35" t="s">
        <v>327</v>
      </c>
      <c r="B802" s="36" t="s">
        <v>284</v>
      </c>
      <c r="C802" s="36" t="s">
        <v>283</v>
      </c>
      <c r="D802" s="44" t="s">
        <v>333</v>
      </c>
      <c r="E802" s="36" t="s">
        <v>328</v>
      </c>
      <c r="F802" s="37">
        <v>1500</v>
      </c>
      <c r="G802" s="37">
        <v>1500</v>
      </c>
      <c r="H802" s="37">
        <v>1500</v>
      </c>
    </row>
    <row r="803" spans="1:8" s="192" customFormat="1" x14ac:dyDescent="0.2">
      <c r="A803" s="39" t="s">
        <v>673</v>
      </c>
      <c r="B803" s="40" t="s">
        <v>284</v>
      </c>
      <c r="C803" s="40" t="s">
        <v>283</v>
      </c>
      <c r="D803" s="40" t="s">
        <v>674</v>
      </c>
      <c r="E803" s="40"/>
      <c r="F803" s="41">
        <f>F804</f>
        <v>20797.12</v>
      </c>
      <c r="G803" s="41">
        <f t="shared" ref="G803:H803" si="216">G804</f>
        <v>640</v>
      </c>
      <c r="H803" s="41">
        <f t="shared" si="216"/>
        <v>640</v>
      </c>
    </row>
    <row r="804" spans="1:8" s="192" customFormat="1" x14ac:dyDescent="0.2">
      <c r="A804" s="29" t="s">
        <v>701</v>
      </c>
      <c r="B804" s="30" t="s">
        <v>284</v>
      </c>
      <c r="C804" s="30" t="s">
        <v>283</v>
      </c>
      <c r="D804" s="30" t="s">
        <v>702</v>
      </c>
      <c r="E804" s="30"/>
      <c r="F804" s="31">
        <f>F805+F809</f>
        <v>20797.12</v>
      </c>
      <c r="G804" s="31">
        <f>G805+G809</f>
        <v>640</v>
      </c>
      <c r="H804" s="31">
        <f>H805+H809</f>
        <v>640</v>
      </c>
    </row>
    <row r="805" spans="1:8" s="192" customFormat="1" ht="36" x14ac:dyDescent="0.2">
      <c r="A805" s="39" t="s">
        <v>731</v>
      </c>
      <c r="B805" s="40" t="s">
        <v>284</v>
      </c>
      <c r="C805" s="40" t="s">
        <v>283</v>
      </c>
      <c r="D805" s="40" t="s">
        <v>732</v>
      </c>
      <c r="E805" s="40"/>
      <c r="F805" s="41">
        <f t="shared" ref="F805:H805" si="217">F806</f>
        <v>20157.12</v>
      </c>
      <c r="G805" s="47">
        <f>G806</f>
        <v>0</v>
      </c>
      <c r="H805" s="47">
        <f t="shared" si="217"/>
        <v>0</v>
      </c>
    </row>
    <row r="806" spans="1:8" s="192" customFormat="1" x14ac:dyDescent="0.2">
      <c r="A806" s="35" t="s">
        <v>356</v>
      </c>
      <c r="B806" s="36" t="s">
        <v>284</v>
      </c>
      <c r="C806" s="36" t="s">
        <v>283</v>
      </c>
      <c r="D806" s="36" t="s">
        <v>732</v>
      </c>
      <c r="E806" s="36" t="s">
        <v>357</v>
      </c>
      <c r="F806" s="37">
        <f>F807+F808</f>
        <v>20157.12</v>
      </c>
      <c r="G806" s="46">
        <f>G807+G808</f>
        <v>0</v>
      </c>
      <c r="H806" s="46">
        <f>H807+H808</f>
        <v>0</v>
      </c>
    </row>
    <row r="807" spans="1:8" s="192" customFormat="1" x14ac:dyDescent="0.2">
      <c r="A807" s="35" t="s">
        <v>358</v>
      </c>
      <c r="B807" s="36" t="s">
        <v>284</v>
      </c>
      <c r="C807" s="36" t="s">
        <v>283</v>
      </c>
      <c r="D807" s="36" t="s">
        <v>732</v>
      </c>
      <c r="E807" s="36" t="s">
        <v>359</v>
      </c>
      <c r="F807" s="37">
        <f>19281.62-363.4</f>
        <v>18918.219999999998</v>
      </c>
      <c r="G807" s="46">
        <v>0</v>
      </c>
      <c r="H807" s="46">
        <v>0</v>
      </c>
    </row>
    <row r="808" spans="1:8" s="192" customFormat="1" x14ac:dyDescent="0.2">
      <c r="A808" s="35" t="s">
        <v>383</v>
      </c>
      <c r="B808" s="36" t="s">
        <v>284</v>
      </c>
      <c r="C808" s="36" t="s">
        <v>283</v>
      </c>
      <c r="D808" s="36" t="s">
        <v>732</v>
      </c>
      <c r="E808" s="36" t="s">
        <v>384</v>
      </c>
      <c r="F808" s="37">
        <f>875.5+363.4</f>
        <v>1238.9000000000001</v>
      </c>
      <c r="G808" s="46">
        <v>0</v>
      </c>
      <c r="H808" s="46">
        <v>0</v>
      </c>
    </row>
    <row r="809" spans="1:8" s="192" customFormat="1" ht="24" x14ac:dyDescent="0.2">
      <c r="A809" s="42" t="s">
        <v>733</v>
      </c>
      <c r="B809" s="40" t="s">
        <v>284</v>
      </c>
      <c r="C809" s="40" t="s">
        <v>283</v>
      </c>
      <c r="D809" s="40" t="s">
        <v>734</v>
      </c>
      <c r="E809" s="40"/>
      <c r="F809" s="41">
        <f t="shared" ref="F809:H810" si="218">F810</f>
        <v>640</v>
      </c>
      <c r="G809" s="41">
        <f t="shared" si="218"/>
        <v>640</v>
      </c>
      <c r="H809" s="41">
        <f t="shared" si="218"/>
        <v>640</v>
      </c>
    </row>
    <row r="810" spans="1:8" s="192" customFormat="1" x14ac:dyDescent="0.2">
      <c r="A810" s="35" t="s">
        <v>325</v>
      </c>
      <c r="B810" s="36" t="s">
        <v>284</v>
      </c>
      <c r="C810" s="36" t="s">
        <v>283</v>
      </c>
      <c r="D810" s="36" t="s">
        <v>734</v>
      </c>
      <c r="E810" s="36" t="s">
        <v>326</v>
      </c>
      <c r="F810" s="37">
        <f t="shared" si="218"/>
        <v>640</v>
      </c>
      <c r="G810" s="37">
        <f t="shared" si="218"/>
        <v>640</v>
      </c>
      <c r="H810" s="37">
        <f t="shared" si="218"/>
        <v>640</v>
      </c>
    </row>
    <row r="811" spans="1:8" s="192" customFormat="1" x14ac:dyDescent="0.2">
      <c r="A811" s="35" t="s">
        <v>336</v>
      </c>
      <c r="B811" s="36" t="s">
        <v>284</v>
      </c>
      <c r="C811" s="36" t="s">
        <v>283</v>
      </c>
      <c r="D811" s="36" t="s">
        <v>734</v>
      </c>
      <c r="E811" s="36" t="s">
        <v>337</v>
      </c>
      <c r="F811" s="37">
        <v>640</v>
      </c>
      <c r="G811" s="37">
        <v>640</v>
      </c>
      <c r="H811" s="37">
        <v>640</v>
      </c>
    </row>
    <row r="812" spans="1:8" s="192" customFormat="1" x14ac:dyDescent="0.2">
      <c r="A812" s="39" t="s">
        <v>285</v>
      </c>
      <c r="B812" s="40" t="s">
        <v>284</v>
      </c>
      <c r="C812" s="40" t="s">
        <v>283</v>
      </c>
      <c r="D812" s="40" t="s">
        <v>189</v>
      </c>
      <c r="E812" s="30"/>
      <c r="F812" s="41">
        <f>F813</f>
        <v>97491.941300000006</v>
      </c>
      <c r="G812" s="41">
        <f t="shared" ref="G812:H812" si="219">G813</f>
        <v>16850.2</v>
      </c>
      <c r="H812" s="41">
        <f t="shared" si="219"/>
        <v>3000</v>
      </c>
    </row>
    <row r="813" spans="1:8" s="192" customFormat="1" x14ac:dyDescent="0.2">
      <c r="A813" s="29" t="s">
        <v>180</v>
      </c>
      <c r="B813" s="30" t="s">
        <v>284</v>
      </c>
      <c r="C813" s="30" t="s">
        <v>283</v>
      </c>
      <c r="D813" s="30" t="s">
        <v>190</v>
      </c>
      <c r="E813" s="30"/>
      <c r="F813" s="31">
        <f>F814+F817+F820+F823+F826+F829</f>
        <v>97491.941300000006</v>
      </c>
      <c r="G813" s="31">
        <f t="shared" ref="G813:H813" si="220">G814+G817+G820+G823+G826+G829</f>
        <v>16850.2</v>
      </c>
      <c r="H813" s="31">
        <f t="shared" si="220"/>
        <v>3000</v>
      </c>
    </row>
    <row r="814" spans="1:8" s="192" customFormat="1" x14ac:dyDescent="0.2">
      <c r="A814" s="29" t="s">
        <v>334</v>
      </c>
      <c r="B814" s="30" t="s">
        <v>284</v>
      </c>
      <c r="C814" s="30" t="s">
        <v>283</v>
      </c>
      <c r="D814" s="203" t="s">
        <v>335</v>
      </c>
      <c r="E814" s="30"/>
      <c r="F814" s="45">
        <f>F815</f>
        <v>20322.650880000001</v>
      </c>
      <c r="G814" s="45">
        <f t="shared" ref="G814:H815" si="221">G815</f>
        <v>13850.2</v>
      </c>
      <c r="H814" s="45">
        <f t="shared" si="221"/>
        <v>0</v>
      </c>
    </row>
    <row r="815" spans="1:8" s="192" customFormat="1" x14ac:dyDescent="0.2">
      <c r="A815" s="35" t="s">
        <v>325</v>
      </c>
      <c r="B815" s="36" t="s">
        <v>284</v>
      </c>
      <c r="C815" s="36" t="s">
        <v>283</v>
      </c>
      <c r="D815" s="204" t="s">
        <v>335</v>
      </c>
      <c r="E815" s="36" t="s">
        <v>326</v>
      </c>
      <c r="F815" s="46">
        <f>F816</f>
        <v>20322.650880000001</v>
      </c>
      <c r="G815" s="46">
        <f t="shared" si="221"/>
        <v>13850.2</v>
      </c>
      <c r="H815" s="46">
        <f t="shared" si="221"/>
        <v>0</v>
      </c>
    </row>
    <row r="816" spans="1:8" s="192" customFormat="1" x14ac:dyDescent="0.2">
      <c r="A816" s="35" t="s">
        <v>336</v>
      </c>
      <c r="B816" s="36" t="s">
        <v>284</v>
      </c>
      <c r="C816" s="36" t="s">
        <v>283</v>
      </c>
      <c r="D816" s="204" t="s">
        <v>335</v>
      </c>
      <c r="E816" s="36" t="s">
        <v>337</v>
      </c>
      <c r="F816" s="37">
        <f>11106.8+9215.85088</f>
        <v>20322.650880000001</v>
      </c>
      <c r="G816" s="46">
        <v>13850.2</v>
      </c>
      <c r="H816" s="46">
        <f>13297.1-13297.1</f>
        <v>0</v>
      </c>
    </row>
    <row r="817" spans="1:8" s="192" customFormat="1" x14ac:dyDescent="0.2">
      <c r="A817" s="29" t="s">
        <v>338</v>
      </c>
      <c r="B817" s="30" t="s">
        <v>284</v>
      </c>
      <c r="C817" s="30" t="s">
        <v>283</v>
      </c>
      <c r="D817" s="203" t="s">
        <v>339</v>
      </c>
      <c r="E817" s="30"/>
      <c r="F817" s="31">
        <f>F818</f>
        <v>9761.1604200000002</v>
      </c>
      <c r="G817" s="31">
        <f t="shared" ref="G817:H818" si="222">G818</f>
        <v>3000</v>
      </c>
      <c r="H817" s="31">
        <f t="shared" si="222"/>
        <v>3000</v>
      </c>
    </row>
    <row r="818" spans="1:8" s="192" customFormat="1" x14ac:dyDescent="0.2">
      <c r="A818" s="35" t="s">
        <v>325</v>
      </c>
      <c r="B818" s="36" t="s">
        <v>284</v>
      </c>
      <c r="C818" s="36" t="s">
        <v>283</v>
      </c>
      <c r="D818" s="204" t="s">
        <v>339</v>
      </c>
      <c r="E818" s="36" t="s">
        <v>326</v>
      </c>
      <c r="F818" s="37">
        <f>F819</f>
        <v>9761.1604200000002</v>
      </c>
      <c r="G818" s="37">
        <f t="shared" si="222"/>
        <v>3000</v>
      </c>
      <c r="H818" s="37">
        <f t="shared" si="222"/>
        <v>3000</v>
      </c>
    </row>
    <row r="819" spans="1:8" s="192" customFormat="1" x14ac:dyDescent="0.2">
      <c r="A819" s="35" t="s">
        <v>336</v>
      </c>
      <c r="B819" s="36" t="s">
        <v>284</v>
      </c>
      <c r="C819" s="36" t="s">
        <v>283</v>
      </c>
      <c r="D819" s="204" t="s">
        <v>339</v>
      </c>
      <c r="E819" s="36" t="s">
        <v>337</v>
      </c>
      <c r="F819" s="37">
        <f>3000+7500-600-138.83958</f>
        <v>9761.1604200000002</v>
      </c>
      <c r="G819" s="37">
        <v>3000</v>
      </c>
      <c r="H819" s="37">
        <v>3000</v>
      </c>
    </row>
    <row r="820" spans="1:8" s="192" customFormat="1" ht="24" x14ac:dyDescent="0.2">
      <c r="A820" s="29" t="s">
        <v>340</v>
      </c>
      <c r="B820" s="30" t="s">
        <v>284</v>
      </c>
      <c r="C820" s="30" t="s">
        <v>283</v>
      </c>
      <c r="D820" s="30" t="s">
        <v>341</v>
      </c>
      <c r="E820" s="30"/>
      <c r="F820" s="31">
        <f>F821</f>
        <v>26864.13</v>
      </c>
      <c r="G820" s="45">
        <f t="shared" ref="G820:H821" si="223">G821</f>
        <v>0</v>
      </c>
      <c r="H820" s="45">
        <f t="shared" si="223"/>
        <v>0</v>
      </c>
    </row>
    <row r="821" spans="1:8" s="192" customFormat="1" x14ac:dyDescent="0.2">
      <c r="A821" s="35" t="s">
        <v>325</v>
      </c>
      <c r="B821" s="36" t="s">
        <v>284</v>
      </c>
      <c r="C821" s="36" t="s">
        <v>283</v>
      </c>
      <c r="D821" s="36" t="s">
        <v>341</v>
      </c>
      <c r="E821" s="36" t="s">
        <v>326</v>
      </c>
      <c r="F821" s="37">
        <f>F822</f>
        <v>26864.13</v>
      </c>
      <c r="G821" s="46">
        <f t="shared" si="223"/>
        <v>0</v>
      </c>
      <c r="H821" s="46">
        <f t="shared" si="223"/>
        <v>0</v>
      </c>
    </row>
    <row r="822" spans="1:8" s="192" customFormat="1" x14ac:dyDescent="0.2">
      <c r="A822" s="35" t="s">
        <v>336</v>
      </c>
      <c r="B822" s="36" t="s">
        <v>284</v>
      </c>
      <c r="C822" s="36" t="s">
        <v>283</v>
      </c>
      <c r="D822" s="36" t="s">
        <v>341</v>
      </c>
      <c r="E822" s="36" t="s">
        <v>337</v>
      </c>
      <c r="F822" s="37">
        <f>20000+306.13+6558</f>
        <v>26864.13</v>
      </c>
      <c r="G822" s="46">
        <v>0</v>
      </c>
      <c r="H822" s="46">
        <v>0</v>
      </c>
    </row>
    <row r="823" spans="1:8" s="192" customFormat="1" x14ac:dyDescent="0.2">
      <c r="A823" s="29" t="s">
        <v>342</v>
      </c>
      <c r="B823" s="30" t="s">
        <v>284</v>
      </c>
      <c r="C823" s="30" t="s">
        <v>283</v>
      </c>
      <c r="D823" s="30" t="s">
        <v>343</v>
      </c>
      <c r="E823" s="36"/>
      <c r="F823" s="31">
        <f>F824</f>
        <v>12834</v>
      </c>
      <c r="G823" s="45">
        <f t="shared" ref="G823:H824" si="224">G824</f>
        <v>0</v>
      </c>
      <c r="H823" s="45">
        <f t="shared" si="224"/>
        <v>0</v>
      </c>
    </row>
    <row r="824" spans="1:8" s="192" customFormat="1" x14ac:dyDescent="0.2">
      <c r="A824" s="35" t="s">
        <v>344</v>
      </c>
      <c r="B824" s="36" t="s">
        <v>284</v>
      </c>
      <c r="C824" s="36" t="s">
        <v>283</v>
      </c>
      <c r="D824" s="36" t="s">
        <v>343</v>
      </c>
      <c r="E824" s="36" t="s">
        <v>345</v>
      </c>
      <c r="F824" s="37">
        <f>F825</f>
        <v>12834</v>
      </c>
      <c r="G824" s="46">
        <f t="shared" si="224"/>
        <v>0</v>
      </c>
      <c r="H824" s="46">
        <f t="shared" si="224"/>
        <v>0</v>
      </c>
    </row>
    <row r="825" spans="1:8" s="192" customFormat="1" x14ac:dyDescent="0.2">
      <c r="A825" s="35" t="s">
        <v>346</v>
      </c>
      <c r="B825" s="36" t="s">
        <v>284</v>
      </c>
      <c r="C825" s="36" t="s">
        <v>283</v>
      </c>
      <c r="D825" s="36" t="s">
        <v>343</v>
      </c>
      <c r="E825" s="36" t="s">
        <v>347</v>
      </c>
      <c r="F825" s="37">
        <v>12834</v>
      </c>
      <c r="G825" s="46">
        <v>0</v>
      </c>
      <c r="H825" s="46">
        <v>0</v>
      </c>
    </row>
    <row r="826" spans="1:8" s="192" customFormat="1" x14ac:dyDescent="0.2">
      <c r="A826" s="29" t="s">
        <v>211</v>
      </c>
      <c r="B826" s="30" t="s">
        <v>284</v>
      </c>
      <c r="C826" s="30" t="s">
        <v>283</v>
      </c>
      <c r="D826" s="30" t="s">
        <v>212</v>
      </c>
      <c r="E826" s="36"/>
      <c r="F826" s="31">
        <f t="shared" ref="F826:H827" si="225">F827</f>
        <v>1350</v>
      </c>
      <c r="G826" s="45">
        <f t="shared" si="225"/>
        <v>0</v>
      </c>
      <c r="H826" s="45">
        <f t="shared" si="225"/>
        <v>0</v>
      </c>
    </row>
    <row r="827" spans="1:8" s="192" customFormat="1" x14ac:dyDescent="0.2">
      <c r="A827" s="35" t="s">
        <v>325</v>
      </c>
      <c r="B827" s="36" t="s">
        <v>284</v>
      </c>
      <c r="C827" s="36" t="s">
        <v>283</v>
      </c>
      <c r="D827" s="36" t="s">
        <v>212</v>
      </c>
      <c r="E827" s="36" t="s">
        <v>326</v>
      </c>
      <c r="F827" s="37">
        <f t="shared" si="225"/>
        <v>1350</v>
      </c>
      <c r="G827" s="46">
        <f t="shared" si="225"/>
        <v>0</v>
      </c>
      <c r="H827" s="46">
        <f t="shared" si="225"/>
        <v>0</v>
      </c>
    </row>
    <row r="828" spans="1:8" s="192" customFormat="1" x14ac:dyDescent="0.2">
      <c r="A828" s="35" t="s">
        <v>336</v>
      </c>
      <c r="B828" s="36" t="s">
        <v>284</v>
      </c>
      <c r="C828" s="36" t="s">
        <v>283</v>
      </c>
      <c r="D828" s="36" t="s">
        <v>212</v>
      </c>
      <c r="E828" s="36" t="s">
        <v>337</v>
      </c>
      <c r="F828" s="37">
        <f>150+1100+100</f>
        <v>1350</v>
      </c>
      <c r="G828" s="46">
        <v>0</v>
      </c>
      <c r="H828" s="46">
        <v>0</v>
      </c>
    </row>
    <row r="829" spans="1:8" s="192" customFormat="1" x14ac:dyDescent="0.2">
      <c r="A829" s="29" t="s">
        <v>348</v>
      </c>
      <c r="B829" s="30" t="s">
        <v>284</v>
      </c>
      <c r="C829" s="30" t="s">
        <v>283</v>
      </c>
      <c r="D829" s="30" t="s">
        <v>349</v>
      </c>
      <c r="E829" s="30"/>
      <c r="F829" s="31">
        <f t="shared" ref="F829:H830" si="226">F830</f>
        <v>26360</v>
      </c>
      <c r="G829" s="45">
        <f t="shared" si="226"/>
        <v>0</v>
      </c>
      <c r="H829" s="45">
        <f t="shared" si="226"/>
        <v>0</v>
      </c>
    </row>
    <row r="830" spans="1:8" x14ac:dyDescent="0.2">
      <c r="A830" s="35" t="s">
        <v>325</v>
      </c>
      <c r="B830" s="36" t="s">
        <v>284</v>
      </c>
      <c r="C830" s="36" t="s">
        <v>283</v>
      </c>
      <c r="D830" s="36" t="s">
        <v>349</v>
      </c>
      <c r="E830" s="36" t="s">
        <v>326</v>
      </c>
      <c r="F830" s="37">
        <f t="shared" si="226"/>
        <v>26360</v>
      </c>
      <c r="G830" s="46">
        <f t="shared" si="226"/>
        <v>0</v>
      </c>
      <c r="H830" s="46">
        <f t="shared" si="226"/>
        <v>0</v>
      </c>
    </row>
    <row r="831" spans="1:8" x14ac:dyDescent="0.2">
      <c r="A831" s="35" t="s">
        <v>336</v>
      </c>
      <c r="B831" s="36" t="s">
        <v>284</v>
      </c>
      <c r="C831" s="36" t="s">
        <v>283</v>
      </c>
      <c r="D831" s="36" t="s">
        <v>349</v>
      </c>
      <c r="E831" s="36" t="s">
        <v>337</v>
      </c>
      <c r="F831" s="37">
        <v>26360</v>
      </c>
      <c r="G831" s="46">
        <v>0</v>
      </c>
      <c r="H831" s="46">
        <v>0</v>
      </c>
    </row>
    <row r="832" spans="1:8" x14ac:dyDescent="0.2">
      <c r="A832" s="29" t="s">
        <v>735</v>
      </c>
      <c r="B832" s="30" t="s">
        <v>284</v>
      </c>
      <c r="C832" s="30" t="s">
        <v>177</v>
      </c>
      <c r="D832" s="30" t="s">
        <v>734</v>
      </c>
      <c r="E832" s="30"/>
      <c r="F832" s="31">
        <f t="shared" ref="F832:H836" si="227">F833</f>
        <v>17500</v>
      </c>
      <c r="G832" s="31">
        <f t="shared" si="227"/>
        <v>17500</v>
      </c>
      <c r="H832" s="31">
        <f t="shared" si="227"/>
        <v>17500</v>
      </c>
    </row>
    <row r="833" spans="1:8" x14ac:dyDescent="0.2">
      <c r="A833" s="39" t="s">
        <v>673</v>
      </c>
      <c r="B833" s="40" t="s">
        <v>284</v>
      </c>
      <c r="C833" s="40" t="s">
        <v>177</v>
      </c>
      <c r="D833" s="40" t="s">
        <v>674</v>
      </c>
      <c r="E833" s="40"/>
      <c r="F833" s="41">
        <f t="shared" si="227"/>
        <v>17500</v>
      </c>
      <c r="G833" s="41">
        <f t="shared" si="227"/>
        <v>17500</v>
      </c>
      <c r="H833" s="41">
        <f t="shared" si="227"/>
        <v>17500</v>
      </c>
    </row>
    <row r="834" spans="1:8" x14ac:dyDescent="0.2">
      <c r="A834" s="29" t="s">
        <v>701</v>
      </c>
      <c r="B834" s="30" t="s">
        <v>284</v>
      </c>
      <c r="C834" s="30" t="s">
        <v>177</v>
      </c>
      <c r="D834" s="30" t="s">
        <v>702</v>
      </c>
      <c r="E834" s="30"/>
      <c r="F834" s="31">
        <f t="shared" si="227"/>
        <v>17500</v>
      </c>
      <c r="G834" s="31">
        <f t="shared" si="227"/>
        <v>17500</v>
      </c>
      <c r="H834" s="31">
        <f t="shared" si="227"/>
        <v>17500</v>
      </c>
    </row>
    <row r="835" spans="1:8" ht="36" x14ac:dyDescent="0.2">
      <c r="A835" s="214" t="s">
        <v>736</v>
      </c>
      <c r="B835" s="49" t="s">
        <v>284</v>
      </c>
      <c r="C835" s="49" t="s">
        <v>177</v>
      </c>
      <c r="D835" s="49" t="s">
        <v>737</v>
      </c>
      <c r="E835" s="49"/>
      <c r="F835" s="53">
        <f t="shared" si="227"/>
        <v>17500</v>
      </c>
      <c r="G835" s="53">
        <f t="shared" si="227"/>
        <v>17500</v>
      </c>
      <c r="H835" s="53">
        <f t="shared" si="227"/>
        <v>17500</v>
      </c>
    </row>
    <row r="836" spans="1:8" x14ac:dyDescent="0.2">
      <c r="A836" s="35" t="s">
        <v>325</v>
      </c>
      <c r="B836" s="36" t="s">
        <v>284</v>
      </c>
      <c r="C836" s="36" t="s">
        <v>177</v>
      </c>
      <c r="D836" s="36" t="s">
        <v>737</v>
      </c>
      <c r="E836" s="36" t="s">
        <v>326</v>
      </c>
      <c r="F836" s="37">
        <f t="shared" si="227"/>
        <v>17500</v>
      </c>
      <c r="G836" s="37">
        <f t="shared" si="227"/>
        <v>17500</v>
      </c>
      <c r="H836" s="37">
        <f t="shared" si="227"/>
        <v>17500</v>
      </c>
    </row>
    <row r="837" spans="1:8" x14ac:dyDescent="0.2">
      <c r="A837" s="35" t="s">
        <v>738</v>
      </c>
      <c r="B837" s="36" t="s">
        <v>284</v>
      </c>
      <c r="C837" s="36" t="s">
        <v>177</v>
      </c>
      <c r="D837" s="36" t="s">
        <v>737</v>
      </c>
      <c r="E837" s="36" t="s">
        <v>328</v>
      </c>
      <c r="F837" s="37">
        <v>17500</v>
      </c>
      <c r="G837" s="37">
        <v>17500</v>
      </c>
      <c r="H837" s="37">
        <v>17500</v>
      </c>
    </row>
    <row r="838" spans="1:8" x14ac:dyDescent="0.2">
      <c r="A838" s="29" t="s">
        <v>385</v>
      </c>
      <c r="B838" s="30" t="s">
        <v>210</v>
      </c>
      <c r="C838" s="30" t="s">
        <v>174</v>
      </c>
      <c r="D838" s="36"/>
      <c r="E838" s="36"/>
      <c r="F838" s="31">
        <f>F839+F850</f>
        <v>64568.052909999999</v>
      </c>
      <c r="G838" s="31">
        <f>G839+G850</f>
        <v>43153.700000000004</v>
      </c>
      <c r="H838" s="31">
        <f>H839+H850</f>
        <v>43153.700000000004</v>
      </c>
    </row>
    <row r="839" spans="1:8" x14ac:dyDescent="0.2">
      <c r="A839" s="29" t="s">
        <v>386</v>
      </c>
      <c r="B839" s="30" t="s">
        <v>210</v>
      </c>
      <c r="C839" s="30" t="s">
        <v>173</v>
      </c>
      <c r="D839" s="40"/>
      <c r="E839" s="40"/>
      <c r="F839" s="208">
        <f>F840</f>
        <v>57239.1</v>
      </c>
      <c r="G839" s="208">
        <f>G840</f>
        <v>37681.4</v>
      </c>
      <c r="H839" s="208">
        <f>H840</f>
        <v>37681.4</v>
      </c>
    </row>
    <row r="840" spans="1:8" ht="24" x14ac:dyDescent="0.2">
      <c r="A840" s="39" t="s">
        <v>377</v>
      </c>
      <c r="B840" s="40" t="s">
        <v>210</v>
      </c>
      <c r="C840" s="40" t="s">
        <v>173</v>
      </c>
      <c r="D840" s="40" t="s">
        <v>378</v>
      </c>
      <c r="E840" s="40"/>
      <c r="F840" s="41">
        <f>F841+F845</f>
        <v>57239.1</v>
      </c>
      <c r="G840" s="41">
        <f>G841+G845</f>
        <v>37681.4</v>
      </c>
      <c r="H840" s="41">
        <f>H841+H845</f>
        <v>37681.4</v>
      </c>
    </row>
    <row r="841" spans="1:8" ht="24" x14ac:dyDescent="0.2">
      <c r="A841" s="29" t="s">
        <v>387</v>
      </c>
      <c r="B841" s="30" t="s">
        <v>210</v>
      </c>
      <c r="C841" s="30" t="s">
        <v>173</v>
      </c>
      <c r="D841" s="30" t="s">
        <v>388</v>
      </c>
      <c r="E841" s="40"/>
      <c r="F841" s="31">
        <f t="shared" ref="F841:H843" si="228">F842</f>
        <v>5700</v>
      </c>
      <c r="G841" s="31">
        <f t="shared" si="228"/>
        <v>2000</v>
      </c>
      <c r="H841" s="31">
        <f t="shared" si="228"/>
        <v>2000</v>
      </c>
    </row>
    <row r="842" spans="1:8" ht="24" x14ac:dyDescent="0.2">
      <c r="A842" s="39" t="s">
        <v>389</v>
      </c>
      <c r="B842" s="40" t="s">
        <v>210</v>
      </c>
      <c r="C842" s="40" t="s">
        <v>173</v>
      </c>
      <c r="D842" s="40" t="s">
        <v>390</v>
      </c>
      <c r="E842" s="40"/>
      <c r="F842" s="41">
        <f t="shared" si="228"/>
        <v>5700</v>
      </c>
      <c r="G842" s="41">
        <f t="shared" si="228"/>
        <v>2000</v>
      </c>
      <c r="H842" s="41">
        <f t="shared" si="228"/>
        <v>2000</v>
      </c>
    </row>
    <row r="843" spans="1:8" x14ac:dyDescent="0.2">
      <c r="A843" s="35" t="s">
        <v>356</v>
      </c>
      <c r="B843" s="36" t="s">
        <v>210</v>
      </c>
      <c r="C843" s="36" t="s">
        <v>173</v>
      </c>
      <c r="D843" s="36" t="s">
        <v>390</v>
      </c>
      <c r="E843" s="36" t="s">
        <v>357</v>
      </c>
      <c r="F843" s="37">
        <f t="shared" si="228"/>
        <v>5700</v>
      </c>
      <c r="G843" s="37">
        <f t="shared" si="228"/>
        <v>2000</v>
      </c>
      <c r="H843" s="37">
        <f t="shared" si="228"/>
        <v>2000</v>
      </c>
    </row>
    <row r="844" spans="1:8" x14ac:dyDescent="0.2">
      <c r="A844" s="35" t="s">
        <v>383</v>
      </c>
      <c r="B844" s="36" t="s">
        <v>210</v>
      </c>
      <c r="C844" s="36" t="s">
        <v>173</v>
      </c>
      <c r="D844" s="36" t="s">
        <v>390</v>
      </c>
      <c r="E844" s="36" t="s">
        <v>384</v>
      </c>
      <c r="F844" s="37">
        <f>4000+1500+200</f>
        <v>5700</v>
      </c>
      <c r="G844" s="37">
        <f>4000-2000</f>
        <v>2000</v>
      </c>
      <c r="H844" s="37">
        <f>4000-2000</f>
        <v>2000</v>
      </c>
    </row>
    <row r="845" spans="1:8" ht="24" x14ac:dyDescent="0.2">
      <c r="A845" s="50" t="s">
        <v>391</v>
      </c>
      <c r="B845" s="30" t="s">
        <v>210</v>
      </c>
      <c r="C845" s="30" t="s">
        <v>173</v>
      </c>
      <c r="D845" s="30" t="s">
        <v>392</v>
      </c>
      <c r="E845" s="30"/>
      <c r="F845" s="31">
        <f t="shared" ref="F845:H848" si="229">F846</f>
        <v>51539.1</v>
      </c>
      <c r="G845" s="31">
        <f t="shared" si="229"/>
        <v>35681.4</v>
      </c>
      <c r="H845" s="31">
        <f t="shared" si="229"/>
        <v>35681.4</v>
      </c>
    </row>
    <row r="846" spans="1:8" x14ac:dyDescent="0.2">
      <c r="A846" s="50" t="s">
        <v>393</v>
      </c>
      <c r="B846" s="30" t="s">
        <v>210</v>
      </c>
      <c r="C846" s="30" t="s">
        <v>173</v>
      </c>
      <c r="D846" s="30" t="s">
        <v>394</v>
      </c>
      <c r="E846" s="30"/>
      <c r="F846" s="31">
        <f t="shared" si="229"/>
        <v>51539.1</v>
      </c>
      <c r="G846" s="31">
        <f t="shared" si="229"/>
        <v>35681.4</v>
      </c>
      <c r="H846" s="31">
        <f t="shared" si="229"/>
        <v>35681.4</v>
      </c>
    </row>
    <row r="847" spans="1:8" ht="24" x14ac:dyDescent="0.2">
      <c r="A847" s="60" t="s">
        <v>395</v>
      </c>
      <c r="B847" s="49" t="s">
        <v>210</v>
      </c>
      <c r="C847" s="49" t="s">
        <v>173</v>
      </c>
      <c r="D847" s="49" t="s">
        <v>394</v>
      </c>
      <c r="E847" s="49"/>
      <c r="F847" s="53">
        <f t="shared" si="229"/>
        <v>51539.1</v>
      </c>
      <c r="G847" s="53">
        <f t="shared" si="229"/>
        <v>35681.4</v>
      </c>
      <c r="H847" s="53">
        <f t="shared" si="229"/>
        <v>35681.4</v>
      </c>
    </row>
    <row r="848" spans="1:8" x14ac:dyDescent="0.2">
      <c r="A848" s="35" t="s">
        <v>356</v>
      </c>
      <c r="B848" s="36" t="s">
        <v>210</v>
      </c>
      <c r="C848" s="36" t="s">
        <v>173</v>
      </c>
      <c r="D848" s="36" t="s">
        <v>394</v>
      </c>
      <c r="E848" s="36" t="s">
        <v>357</v>
      </c>
      <c r="F848" s="37">
        <f t="shared" si="229"/>
        <v>51539.1</v>
      </c>
      <c r="G848" s="37">
        <f t="shared" si="229"/>
        <v>35681.4</v>
      </c>
      <c r="H848" s="37">
        <f t="shared" si="229"/>
        <v>35681.4</v>
      </c>
    </row>
    <row r="849" spans="1:8" x14ac:dyDescent="0.2">
      <c r="A849" s="35" t="s">
        <v>383</v>
      </c>
      <c r="B849" s="36" t="s">
        <v>210</v>
      </c>
      <c r="C849" s="36" t="s">
        <v>173</v>
      </c>
      <c r="D849" s="36" t="s">
        <v>394</v>
      </c>
      <c r="E849" s="36" t="s">
        <v>384</v>
      </c>
      <c r="F849" s="37">
        <f>28781+6900.4+750+3300+157.7+1650+10000</f>
        <v>51539.1</v>
      </c>
      <c r="G849" s="37">
        <f t="shared" ref="G849:H849" si="230">28781+6900.4</f>
        <v>35681.4</v>
      </c>
      <c r="H849" s="37">
        <f t="shared" si="230"/>
        <v>35681.4</v>
      </c>
    </row>
    <row r="850" spans="1:8" x14ac:dyDescent="0.2">
      <c r="A850" s="29" t="s">
        <v>396</v>
      </c>
      <c r="B850" s="30" t="s">
        <v>210</v>
      </c>
      <c r="C850" s="30" t="s">
        <v>206</v>
      </c>
      <c r="D850" s="30"/>
      <c r="E850" s="30"/>
      <c r="F850" s="31">
        <f>F851+F862</f>
        <v>7328.95291</v>
      </c>
      <c r="G850" s="31">
        <f>G851+G862</f>
        <v>5472.3</v>
      </c>
      <c r="H850" s="31">
        <f>H851+H862</f>
        <v>5472.3</v>
      </c>
    </row>
    <row r="851" spans="1:8" ht="24" x14ac:dyDescent="0.2">
      <c r="A851" s="39" t="s">
        <v>377</v>
      </c>
      <c r="B851" s="40" t="s">
        <v>210</v>
      </c>
      <c r="C851" s="40" t="s">
        <v>206</v>
      </c>
      <c r="D851" s="40" t="s">
        <v>378</v>
      </c>
      <c r="E851" s="30"/>
      <c r="F851" s="41">
        <f t="shared" ref="F851:H851" si="231">F852</f>
        <v>7108.7719999999999</v>
      </c>
      <c r="G851" s="41">
        <f t="shared" si="231"/>
        <v>5472.3</v>
      </c>
      <c r="H851" s="41">
        <f t="shared" si="231"/>
        <v>5472.3</v>
      </c>
    </row>
    <row r="852" spans="1:8" x14ac:dyDescent="0.2">
      <c r="A852" s="29" t="s">
        <v>397</v>
      </c>
      <c r="B852" s="30" t="s">
        <v>210</v>
      </c>
      <c r="C852" s="30" t="s">
        <v>206</v>
      </c>
      <c r="D852" s="30" t="s">
        <v>398</v>
      </c>
      <c r="E852" s="30"/>
      <c r="F852" s="31">
        <f>F853+F857</f>
        <v>7108.7719999999999</v>
      </c>
      <c r="G852" s="31">
        <f>G853+G857</f>
        <v>5472.3</v>
      </c>
      <c r="H852" s="31">
        <f>H853+H857</f>
        <v>5472.3</v>
      </c>
    </row>
    <row r="853" spans="1:8" ht="24" x14ac:dyDescent="0.2">
      <c r="A853" s="29" t="s">
        <v>175</v>
      </c>
      <c r="B853" s="30" t="s">
        <v>210</v>
      </c>
      <c r="C853" s="30" t="s">
        <v>206</v>
      </c>
      <c r="D853" s="30" t="s">
        <v>399</v>
      </c>
      <c r="E853" s="30"/>
      <c r="F853" s="31">
        <f t="shared" ref="F853:H855" si="232">F854</f>
        <v>6826.402</v>
      </c>
      <c r="G853" s="31">
        <f t="shared" si="232"/>
        <v>5228.1000000000004</v>
      </c>
      <c r="H853" s="31">
        <f t="shared" si="232"/>
        <v>5228.1000000000004</v>
      </c>
    </row>
    <row r="854" spans="1:8" x14ac:dyDescent="0.2">
      <c r="A854" s="39" t="s">
        <v>183</v>
      </c>
      <c r="B854" s="40" t="s">
        <v>210</v>
      </c>
      <c r="C854" s="40" t="s">
        <v>206</v>
      </c>
      <c r="D854" s="40" t="s">
        <v>399</v>
      </c>
      <c r="E854" s="40"/>
      <c r="F854" s="41">
        <f t="shared" si="232"/>
        <v>6826.402</v>
      </c>
      <c r="G854" s="41">
        <f t="shared" si="232"/>
        <v>5228.1000000000004</v>
      </c>
      <c r="H854" s="41">
        <f t="shared" si="232"/>
        <v>5228.1000000000004</v>
      </c>
    </row>
    <row r="855" spans="1:8" ht="24" x14ac:dyDescent="0.2">
      <c r="A855" s="35" t="s">
        <v>185</v>
      </c>
      <c r="B855" s="36" t="s">
        <v>210</v>
      </c>
      <c r="C855" s="36" t="s">
        <v>206</v>
      </c>
      <c r="D855" s="36" t="s">
        <v>399</v>
      </c>
      <c r="E855" s="36" t="s">
        <v>186</v>
      </c>
      <c r="F855" s="37">
        <f t="shared" si="232"/>
        <v>6826.402</v>
      </c>
      <c r="G855" s="37">
        <f t="shared" si="232"/>
        <v>5228.1000000000004</v>
      </c>
      <c r="H855" s="37">
        <f t="shared" si="232"/>
        <v>5228.1000000000004</v>
      </c>
    </row>
    <row r="856" spans="1:8" x14ac:dyDescent="0.2">
      <c r="A856" s="35" t="s">
        <v>187</v>
      </c>
      <c r="B856" s="36" t="s">
        <v>210</v>
      </c>
      <c r="C856" s="36" t="s">
        <v>206</v>
      </c>
      <c r="D856" s="36" t="s">
        <v>399</v>
      </c>
      <c r="E856" s="36" t="s">
        <v>188</v>
      </c>
      <c r="F856" s="37">
        <f>3995.4+20+1212.7+1598.302</f>
        <v>6826.402</v>
      </c>
      <c r="G856" s="37">
        <f t="shared" ref="G856:H856" si="233">3995.4+20+1212.7</f>
        <v>5228.1000000000004</v>
      </c>
      <c r="H856" s="37">
        <f t="shared" si="233"/>
        <v>5228.1000000000004</v>
      </c>
    </row>
    <row r="857" spans="1:8" x14ac:dyDescent="0.2">
      <c r="A857" s="29" t="s">
        <v>193</v>
      </c>
      <c r="B857" s="30" t="s">
        <v>210</v>
      </c>
      <c r="C857" s="30" t="s">
        <v>206</v>
      </c>
      <c r="D857" s="30" t="s">
        <v>400</v>
      </c>
      <c r="E857" s="30"/>
      <c r="F857" s="31">
        <f>F858+F860</f>
        <v>282.37</v>
      </c>
      <c r="G857" s="31">
        <f>G858+G860</f>
        <v>244.2</v>
      </c>
      <c r="H857" s="31">
        <f>H858+H860</f>
        <v>244.2</v>
      </c>
    </row>
    <row r="858" spans="1:8" x14ac:dyDescent="0.2">
      <c r="A858" s="35" t="s">
        <v>195</v>
      </c>
      <c r="B858" s="36" t="s">
        <v>210</v>
      </c>
      <c r="C858" s="36" t="s">
        <v>206</v>
      </c>
      <c r="D858" s="36" t="s">
        <v>400</v>
      </c>
      <c r="E858" s="36" t="s">
        <v>196</v>
      </c>
      <c r="F858" s="37">
        <f>F859</f>
        <v>272.37</v>
      </c>
      <c r="G858" s="37">
        <f>G859</f>
        <v>234.2</v>
      </c>
      <c r="H858" s="37">
        <f>H859</f>
        <v>234.2</v>
      </c>
    </row>
    <row r="859" spans="1:8" x14ac:dyDescent="0.2">
      <c r="A859" s="35" t="s">
        <v>197</v>
      </c>
      <c r="B859" s="36" t="s">
        <v>210</v>
      </c>
      <c r="C859" s="36" t="s">
        <v>206</v>
      </c>
      <c r="D859" s="36" t="s">
        <v>400</v>
      </c>
      <c r="E859" s="36" t="s">
        <v>198</v>
      </c>
      <c r="F859" s="37">
        <f>234.2+38.17</f>
        <v>272.37</v>
      </c>
      <c r="G859" s="37">
        <v>234.2</v>
      </c>
      <c r="H859" s="37">
        <v>234.2</v>
      </c>
    </row>
    <row r="860" spans="1:8" x14ac:dyDescent="0.2">
      <c r="A860" s="35" t="s">
        <v>199</v>
      </c>
      <c r="B860" s="36" t="s">
        <v>210</v>
      </c>
      <c r="C860" s="36" t="s">
        <v>206</v>
      </c>
      <c r="D860" s="36" t="s">
        <v>400</v>
      </c>
      <c r="E860" s="36" t="s">
        <v>200</v>
      </c>
      <c r="F860" s="37">
        <f>F861</f>
        <v>10</v>
      </c>
      <c r="G860" s="37">
        <f>G861</f>
        <v>10</v>
      </c>
      <c r="H860" s="37">
        <f>H861</f>
        <v>10</v>
      </c>
    </row>
    <row r="861" spans="1:8" x14ac:dyDescent="0.2">
      <c r="A861" s="35" t="s">
        <v>201</v>
      </c>
      <c r="B861" s="36" t="s">
        <v>210</v>
      </c>
      <c r="C861" s="36" t="s">
        <v>206</v>
      </c>
      <c r="D861" s="36" t="s">
        <v>400</v>
      </c>
      <c r="E861" s="36" t="s">
        <v>202</v>
      </c>
      <c r="F861" s="37">
        <v>10</v>
      </c>
      <c r="G861" s="37">
        <v>10</v>
      </c>
      <c r="H861" s="37">
        <v>10</v>
      </c>
    </row>
    <row r="862" spans="1:8" x14ac:dyDescent="0.2">
      <c r="A862" s="39" t="s">
        <v>178</v>
      </c>
      <c r="B862" s="40" t="s">
        <v>210</v>
      </c>
      <c r="C862" s="40" t="s">
        <v>206</v>
      </c>
      <c r="D862" s="40" t="s">
        <v>189</v>
      </c>
      <c r="E862" s="36"/>
      <c r="F862" s="47">
        <f t="shared" ref="F862:H865" si="234">F863</f>
        <v>220.18091000000001</v>
      </c>
      <c r="G862" s="47">
        <f t="shared" si="234"/>
        <v>0</v>
      </c>
      <c r="H862" s="47">
        <f t="shared" si="234"/>
        <v>0</v>
      </c>
    </row>
    <row r="863" spans="1:8" x14ac:dyDescent="0.2">
      <c r="A863" s="29" t="s">
        <v>180</v>
      </c>
      <c r="B863" s="30" t="s">
        <v>210</v>
      </c>
      <c r="C863" s="30" t="s">
        <v>206</v>
      </c>
      <c r="D863" s="30" t="s">
        <v>190</v>
      </c>
      <c r="E863" s="36"/>
      <c r="F863" s="45">
        <f t="shared" si="234"/>
        <v>220.18091000000001</v>
      </c>
      <c r="G863" s="45">
        <f t="shared" si="234"/>
        <v>0</v>
      </c>
      <c r="H863" s="45">
        <f t="shared" si="234"/>
        <v>0</v>
      </c>
    </row>
    <row r="864" spans="1:8" x14ac:dyDescent="0.2">
      <c r="A864" s="29" t="s">
        <v>203</v>
      </c>
      <c r="B864" s="30" t="s">
        <v>210</v>
      </c>
      <c r="C864" s="30" t="s">
        <v>206</v>
      </c>
      <c r="D864" s="30" t="s">
        <v>204</v>
      </c>
      <c r="E864" s="30"/>
      <c r="F864" s="45">
        <f t="shared" si="234"/>
        <v>220.18091000000001</v>
      </c>
      <c r="G864" s="45">
        <f t="shared" si="234"/>
        <v>0</v>
      </c>
      <c r="H864" s="45">
        <f t="shared" si="234"/>
        <v>0</v>
      </c>
    </row>
    <row r="865" spans="1:8" ht="24" x14ac:dyDescent="0.2">
      <c r="A865" s="35" t="s">
        <v>185</v>
      </c>
      <c r="B865" s="36" t="s">
        <v>210</v>
      </c>
      <c r="C865" s="36" t="s">
        <v>206</v>
      </c>
      <c r="D865" s="36" t="s">
        <v>204</v>
      </c>
      <c r="E865" s="36" t="s">
        <v>186</v>
      </c>
      <c r="F865" s="46">
        <f t="shared" si="234"/>
        <v>220.18091000000001</v>
      </c>
      <c r="G865" s="46">
        <f t="shared" si="234"/>
        <v>0</v>
      </c>
      <c r="H865" s="46">
        <f t="shared" si="234"/>
        <v>0</v>
      </c>
    </row>
    <row r="866" spans="1:8" x14ac:dyDescent="0.2">
      <c r="A866" s="35" t="s">
        <v>187</v>
      </c>
      <c r="B866" s="36" t="s">
        <v>210</v>
      </c>
      <c r="C866" s="36" t="s">
        <v>206</v>
      </c>
      <c r="D866" s="36" t="s">
        <v>204</v>
      </c>
      <c r="E866" s="36" t="s">
        <v>188</v>
      </c>
      <c r="F866" s="46">
        <v>220.18091000000001</v>
      </c>
      <c r="G866" s="46">
        <v>0</v>
      </c>
      <c r="H866" s="46">
        <v>0</v>
      </c>
    </row>
    <row r="867" spans="1:8" x14ac:dyDescent="0.2">
      <c r="A867" s="29" t="s">
        <v>350</v>
      </c>
      <c r="B867" s="30" t="s">
        <v>292</v>
      </c>
      <c r="C867" s="30" t="s">
        <v>174</v>
      </c>
      <c r="D867" s="30"/>
      <c r="E867" s="30"/>
      <c r="F867" s="31">
        <f>F868</f>
        <v>10057.299000000001</v>
      </c>
      <c r="G867" s="31">
        <f t="shared" ref="G867:H871" si="235">G868</f>
        <v>11187.2</v>
      </c>
      <c r="H867" s="31">
        <f t="shared" si="235"/>
        <v>11187.2</v>
      </c>
    </row>
    <row r="868" spans="1:8" x14ac:dyDescent="0.2">
      <c r="A868" s="29" t="s">
        <v>351</v>
      </c>
      <c r="B868" s="30" t="s">
        <v>292</v>
      </c>
      <c r="C868" s="30" t="s">
        <v>352</v>
      </c>
      <c r="D868" s="30" t="s">
        <v>189</v>
      </c>
      <c r="E868" s="30"/>
      <c r="F868" s="31">
        <f>F869</f>
        <v>10057.299000000001</v>
      </c>
      <c r="G868" s="31">
        <f t="shared" si="235"/>
        <v>11187.2</v>
      </c>
      <c r="H868" s="31">
        <f t="shared" si="235"/>
        <v>11187.2</v>
      </c>
    </row>
    <row r="869" spans="1:8" x14ac:dyDescent="0.2">
      <c r="A869" s="29" t="s">
        <v>353</v>
      </c>
      <c r="B869" s="30" t="s">
        <v>292</v>
      </c>
      <c r="C869" s="30" t="s">
        <v>352</v>
      </c>
      <c r="D869" s="30" t="s">
        <v>190</v>
      </c>
      <c r="E869" s="30"/>
      <c r="F869" s="31">
        <f>F870</f>
        <v>10057.299000000001</v>
      </c>
      <c r="G869" s="31">
        <f t="shared" si="235"/>
        <v>11187.2</v>
      </c>
      <c r="H869" s="31">
        <f t="shared" si="235"/>
        <v>11187.2</v>
      </c>
    </row>
    <row r="870" spans="1:8" ht="24" x14ac:dyDescent="0.2">
      <c r="A870" s="29" t="s">
        <v>354</v>
      </c>
      <c r="B870" s="30" t="s">
        <v>292</v>
      </c>
      <c r="C870" s="30" t="s">
        <v>352</v>
      </c>
      <c r="D870" s="30" t="s">
        <v>355</v>
      </c>
      <c r="E870" s="30"/>
      <c r="F870" s="31">
        <f>F871</f>
        <v>10057.299000000001</v>
      </c>
      <c r="G870" s="31">
        <f t="shared" si="235"/>
        <v>11187.2</v>
      </c>
      <c r="H870" s="31">
        <f t="shared" si="235"/>
        <v>11187.2</v>
      </c>
    </row>
    <row r="871" spans="1:8" x14ac:dyDescent="0.2">
      <c r="A871" s="35" t="s">
        <v>356</v>
      </c>
      <c r="B871" s="36" t="s">
        <v>292</v>
      </c>
      <c r="C871" s="36" t="s">
        <v>352</v>
      </c>
      <c r="D871" s="36" t="s">
        <v>355</v>
      </c>
      <c r="E871" s="36" t="s">
        <v>357</v>
      </c>
      <c r="F871" s="37">
        <f>F872</f>
        <v>10057.299000000001</v>
      </c>
      <c r="G871" s="37">
        <f t="shared" si="235"/>
        <v>11187.2</v>
      </c>
      <c r="H871" s="37">
        <f t="shared" si="235"/>
        <v>11187.2</v>
      </c>
    </row>
    <row r="872" spans="1:8" x14ac:dyDescent="0.2">
      <c r="A872" s="35" t="s">
        <v>358</v>
      </c>
      <c r="B872" s="36" t="s">
        <v>292</v>
      </c>
      <c r="C872" s="36" t="s">
        <v>352</v>
      </c>
      <c r="D872" s="36" t="s">
        <v>355</v>
      </c>
      <c r="E872" s="36" t="s">
        <v>359</v>
      </c>
      <c r="F872" s="37">
        <f>11187.2-1129.901</f>
        <v>10057.299000000001</v>
      </c>
      <c r="G872" s="37">
        <v>11187.2</v>
      </c>
      <c r="H872" s="37">
        <v>11187.2</v>
      </c>
    </row>
    <row r="873" spans="1:8" x14ac:dyDescent="0.2">
      <c r="A873" s="29" t="s">
        <v>660</v>
      </c>
      <c r="B873" s="30" t="s">
        <v>216</v>
      </c>
      <c r="C873" s="30" t="s">
        <v>174</v>
      </c>
      <c r="D873" s="30"/>
      <c r="E873" s="30"/>
      <c r="F873" s="31">
        <f t="shared" ref="F873:H877" si="236">F874</f>
        <v>1403.2600000000016</v>
      </c>
      <c r="G873" s="31">
        <f t="shared" si="236"/>
        <v>23400</v>
      </c>
      <c r="H873" s="31">
        <f t="shared" si="236"/>
        <v>3088.0430999999953</v>
      </c>
    </row>
    <row r="874" spans="1:8" x14ac:dyDescent="0.2">
      <c r="A874" s="29" t="s">
        <v>180</v>
      </c>
      <c r="B874" s="30" t="s">
        <v>216</v>
      </c>
      <c r="C874" s="30" t="s">
        <v>173</v>
      </c>
      <c r="D874" s="51" t="s">
        <v>190</v>
      </c>
      <c r="E874" s="30"/>
      <c r="F874" s="31">
        <f t="shared" si="236"/>
        <v>1403.2600000000016</v>
      </c>
      <c r="G874" s="31">
        <f t="shared" si="236"/>
        <v>23400</v>
      </c>
      <c r="H874" s="31">
        <f t="shared" si="236"/>
        <v>3088.0430999999953</v>
      </c>
    </row>
    <row r="875" spans="1:8" x14ac:dyDescent="0.2">
      <c r="A875" s="29" t="s">
        <v>661</v>
      </c>
      <c r="B875" s="30" t="s">
        <v>216</v>
      </c>
      <c r="C875" s="30" t="s">
        <v>173</v>
      </c>
      <c r="D875" s="30" t="s">
        <v>662</v>
      </c>
      <c r="E875" s="30"/>
      <c r="F875" s="31">
        <f t="shared" si="236"/>
        <v>1403.2600000000016</v>
      </c>
      <c r="G875" s="31">
        <f t="shared" si="236"/>
        <v>23400</v>
      </c>
      <c r="H875" s="31">
        <f t="shared" si="236"/>
        <v>3088.0430999999953</v>
      </c>
    </row>
    <row r="876" spans="1:8" x14ac:dyDescent="0.2">
      <c r="A876" s="52" t="s">
        <v>663</v>
      </c>
      <c r="B876" s="49" t="s">
        <v>216</v>
      </c>
      <c r="C876" s="49" t="s">
        <v>173</v>
      </c>
      <c r="D876" s="209" t="s">
        <v>662</v>
      </c>
      <c r="E876" s="49"/>
      <c r="F876" s="53">
        <f t="shared" si="236"/>
        <v>1403.2600000000016</v>
      </c>
      <c r="G876" s="53">
        <f t="shared" si="236"/>
        <v>23400</v>
      </c>
      <c r="H876" s="53">
        <f t="shared" si="236"/>
        <v>3088.0430999999953</v>
      </c>
    </row>
    <row r="877" spans="1:8" x14ac:dyDescent="0.2">
      <c r="A877" s="35" t="s">
        <v>664</v>
      </c>
      <c r="B877" s="36" t="s">
        <v>216</v>
      </c>
      <c r="C877" s="36" t="s">
        <v>173</v>
      </c>
      <c r="D877" s="36" t="s">
        <v>662</v>
      </c>
      <c r="E877" s="36" t="s">
        <v>665</v>
      </c>
      <c r="F877" s="37">
        <f t="shared" si="236"/>
        <v>1403.2600000000016</v>
      </c>
      <c r="G877" s="37">
        <f t="shared" si="236"/>
        <v>23400</v>
      </c>
      <c r="H877" s="37">
        <f t="shared" si="236"/>
        <v>3088.0430999999953</v>
      </c>
    </row>
    <row r="878" spans="1:8" x14ac:dyDescent="0.2">
      <c r="A878" s="35" t="s">
        <v>666</v>
      </c>
      <c r="B878" s="36" t="s">
        <v>216</v>
      </c>
      <c r="C878" s="36" t="s">
        <v>173</v>
      </c>
      <c r="D878" s="36" t="s">
        <v>662</v>
      </c>
      <c r="E878" s="36" t="s">
        <v>667</v>
      </c>
      <c r="F878" s="37">
        <f>73000-51352.1-2000-17000-973-271.64</f>
        <v>1403.2600000000016</v>
      </c>
      <c r="G878" s="37">
        <f>103000-30000-49600</f>
        <v>23400</v>
      </c>
      <c r="H878" s="37">
        <f>103000-30000-69911.9569</f>
        <v>3088.0430999999953</v>
      </c>
    </row>
    <row r="879" spans="1:8" x14ac:dyDescent="0.2">
      <c r="A879" s="266" t="s">
        <v>772</v>
      </c>
      <c r="B879" s="267"/>
      <c r="C879" s="267"/>
      <c r="D879" s="267"/>
      <c r="E879" s="268"/>
      <c r="F879" s="45">
        <v>0</v>
      </c>
      <c r="G879" s="220">
        <v>90918.9</v>
      </c>
      <c r="H879" s="220">
        <v>182126.6</v>
      </c>
    </row>
  </sheetData>
  <mergeCells count="23">
    <mergeCell ref="A12:H12"/>
    <mergeCell ref="A13:H13"/>
    <mergeCell ref="H18:H19"/>
    <mergeCell ref="A15:H15"/>
    <mergeCell ref="A6:H6"/>
    <mergeCell ref="A7:H7"/>
    <mergeCell ref="A9:H9"/>
    <mergeCell ref="A10:H10"/>
    <mergeCell ref="A11:H11"/>
    <mergeCell ref="A1:H1"/>
    <mergeCell ref="A2:H2"/>
    <mergeCell ref="A3:H3"/>
    <mergeCell ref="A4:H4"/>
    <mergeCell ref="A5:H5"/>
    <mergeCell ref="A879:E879"/>
    <mergeCell ref="A17:H17"/>
    <mergeCell ref="A18:A19"/>
    <mergeCell ref="B18:B19"/>
    <mergeCell ref="C18:C19"/>
    <mergeCell ref="D18:D19"/>
    <mergeCell ref="E18:E19"/>
    <mergeCell ref="F18:F19"/>
    <mergeCell ref="G18:G19"/>
  </mergeCells>
  <phoneticPr fontId="2" type="noConversion"/>
  <pageMargins left="0.47244094488188981" right="0.39370078740157483" top="0.39370078740157483" bottom="0.39370078740157483" header="0.39370078740157483" footer="0"/>
  <pageSetup paperSize="9" scale="82" orientation="landscape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1132"/>
  <sheetViews>
    <sheetView view="pageBreakPreview" zoomScale="110" zoomScaleNormal="110" zoomScaleSheetLayoutView="110" workbookViewId="0">
      <selection activeCell="A3" sqref="A3:H3"/>
    </sheetView>
  </sheetViews>
  <sheetFormatPr defaultRowHeight="12.75" x14ac:dyDescent="0.2"/>
  <cols>
    <col min="1" max="1" width="82.42578125" style="3" customWidth="1"/>
    <col min="2" max="2" width="17.42578125" style="3" customWidth="1"/>
    <col min="3" max="3" width="8.7109375" style="4" customWidth="1"/>
    <col min="4" max="4" width="8" style="4" customWidth="1"/>
    <col min="5" max="5" width="8.28515625" style="4" customWidth="1"/>
    <col min="6" max="8" width="14.140625" style="224" customWidth="1"/>
    <col min="9" max="16384" width="9.140625" style="224"/>
  </cols>
  <sheetData>
    <row r="1" spans="1:8" ht="15" x14ac:dyDescent="0.25">
      <c r="A1" s="255" t="s">
        <v>30</v>
      </c>
      <c r="B1" s="255"/>
      <c r="C1" s="255"/>
      <c r="D1" s="255"/>
      <c r="E1" s="255"/>
      <c r="F1" s="255"/>
      <c r="G1" s="255"/>
      <c r="H1" s="255"/>
    </row>
    <row r="2" spans="1:8" ht="15" x14ac:dyDescent="0.25">
      <c r="A2" s="255" t="s">
        <v>41</v>
      </c>
      <c r="B2" s="255"/>
      <c r="C2" s="255"/>
      <c r="D2" s="255"/>
      <c r="E2" s="255"/>
      <c r="F2" s="255"/>
      <c r="G2" s="255"/>
      <c r="H2" s="255"/>
    </row>
    <row r="3" spans="1:8" ht="15" x14ac:dyDescent="0.25">
      <c r="A3" s="255" t="s">
        <v>884</v>
      </c>
      <c r="B3" s="255"/>
      <c r="C3" s="255"/>
      <c r="D3" s="255"/>
      <c r="E3" s="255"/>
      <c r="F3" s="255"/>
      <c r="G3" s="255"/>
      <c r="H3" s="255"/>
    </row>
    <row r="4" spans="1:8" ht="15" x14ac:dyDescent="0.25">
      <c r="A4" s="255" t="s">
        <v>20</v>
      </c>
      <c r="B4" s="255"/>
      <c r="C4" s="255"/>
      <c r="D4" s="255"/>
      <c r="E4" s="255"/>
      <c r="F4" s="255"/>
      <c r="G4" s="255"/>
      <c r="H4" s="255"/>
    </row>
    <row r="5" spans="1:8" ht="15" x14ac:dyDescent="0.25">
      <c r="A5" s="255" t="s">
        <v>21</v>
      </c>
      <c r="B5" s="255"/>
      <c r="C5" s="255"/>
      <c r="D5" s="255"/>
      <c r="E5" s="255"/>
      <c r="F5" s="255"/>
      <c r="G5" s="255"/>
      <c r="H5" s="255"/>
    </row>
    <row r="6" spans="1:8" ht="15" x14ac:dyDescent="0.25">
      <c r="A6" s="255" t="s">
        <v>28</v>
      </c>
      <c r="B6" s="255"/>
      <c r="C6" s="255"/>
      <c r="D6" s="255"/>
      <c r="E6" s="255"/>
      <c r="F6" s="255"/>
      <c r="G6" s="255"/>
      <c r="H6" s="255"/>
    </row>
    <row r="7" spans="1:8" ht="15" x14ac:dyDescent="0.25">
      <c r="A7" s="255" t="s">
        <v>26</v>
      </c>
      <c r="B7" s="255"/>
      <c r="C7" s="255"/>
      <c r="D7" s="255"/>
      <c r="E7" s="255"/>
      <c r="F7" s="255"/>
      <c r="G7" s="255"/>
      <c r="H7" s="255"/>
    </row>
    <row r="8" spans="1:8" x14ac:dyDescent="0.2">
      <c r="A8" s="162"/>
      <c r="B8" s="159"/>
      <c r="C8" s="159"/>
      <c r="D8" s="159"/>
      <c r="E8" s="159"/>
      <c r="F8" s="187"/>
      <c r="G8" s="226"/>
      <c r="H8" s="226"/>
    </row>
    <row r="9" spans="1:8" ht="15" x14ac:dyDescent="0.25">
      <c r="A9" s="253" t="s">
        <v>34</v>
      </c>
      <c r="B9" s="253"/>
      <c r="C9" s="253"/>
      <c r="D9" s="253"/>
      <c r="E9" s="253"/>
      <c r="F9" s="253"/>
      <c r="G9" s="253"/>
      <c r="H9" s="253"/>
    </row>
    <row r="10" spans="1:8" ht="15" x14ac:dyDescent="0.25">
      <c r="A10" s="253" t="s">
        <v>22</v>
      </c>
      <c r="B10" s="253"/>
      <c r="C10" s="253"/>
      <c r="D10" s="253"/>
      <c r="E10" s="253"/>
      <c r="F10" s="253"/>
      <c r="G10" s="253"/>
      <c r="H10" s="253"/>
    </row>
    <row r="11" spans="1:8" ht="15" x14ac:dyDescent="0.25">
      <c r="A11" s="253" t="s">
        <v>27</v>
      </c>
      <c r="B11" s="253"/>
      <c r="C11" s="253"/>
      <c r="D11" s="253"/>
      <c r="E11" s="253"/>
      <c r="F11" s="253"/>
      <c r="G11" s="253"/>
      <c r="H11" s="253"/>
    </row>
    <row r="12" spans="1:8" ht="15" x14ac:dyDescent="0.25">
      <c r="A12" s="253" t="s">
        <v>23</v>
      </c>
      <c r="B12" s="253"/>
      <c r="C12" s="253"/>
      <c r="D12" s="253"/>
      <c r="E12" s="253"/>
      <c r="F12" s="253"/>
      <c r="G12" s="253"/>
      <c r="H12" s="253"/>
    </row>
    <row r="13" spans="1:8" ht="15" x14ac:dyDescent="0.25">
      <c r="A13" s="253" t="s">
        <v>24</v>
      </c>
      <c r="B13" s="253"/>
      <c r="C13" s="253"/>
      <c r="D13" s="253"/>
      <c r="E13" s="253"/>
      <c r="F13" s="253"/>
      <c r="G13" s="253"/>
      <c r="H13" s="253"/>
    </row>
    <row r="15" spans="1:8" ht="12.75" customHeight="1" x14ac:dyDescent="0.2">
      <c r="A15" s="276" t="s">
        <v>14</v>
      </c>
      <c r="B15" s="276"/>
      <c r="C15" s="276"/>
      <c r="D15" s="276"/>
      <c r="E15" s="276"/>
      <c r="F15" s="276"/>
      <c r="G15" s="276"/>
      <c r="H15" s="276"/>
    </row>
    <row r="16" spans="1:8" ht="16.5" customHeight="1" x14ac:dyDescent="0.2">
      <c r="A16" s="276"/>
      <c r="B16" s="276"/>
      <c r="C16" s="276"/>
      <c r="D16" s="276"/>
      <c r="E16" s="276"/>
      <c r="F16" s="276"/>
      <c r="G16" s="276"/>
      <c r="H16" s="276"/>
    </row>
    <row r="17" spans="1:8" ht="14.25" x14ac:dyDescent="0.2">
      <c r="A17" s="277" t="s">
        <v>18</v>
      </c>
      <c r="B17" s="277"/>
      <c r="C17" s="277"/>
      <c r="D17" s="277"/>
      <c r="E17" s="277"/>
      <c r="F17" s="277"/>
      <c r="G17" s="277"/>
      <c r="H17" s="277"/>
    </row>
    <row r="18" spans="1:8" x14ac:dyDescent="0.2">
      <c r="A18" s="280" t="s">
        <v>12</v>
      </c>
      <c r="B18" s="280"/>
      <c r="C18" s="280"/>
      <c r="D18" s="280"/>
      <c r="E18" s="280"/>
      <c r="F18" s="280"/>
      <c r="G18" s="280"/>
      <c r="H18" s="280"/>
    </row>
    <row r="19" spans="1:8" ht="38.25" customHeight="1" x14ac:dyDescent="0.2">
      <c r="A19" s="278" t="s">
        <v>2</v>
      </c>
      <c r="B19" s="259" t="s">
        <v>40</v>
      </c>
      <c r="C19" s="259" t="s">
        <v>1</v>
      </c>
      <c r="D19" s="259" t="s">
        <v>0</v>
      </c>
      <c r="E19" s="259" t="s">
        <v>4</v>
      </c>
      <c r="F19" s="262" t="s">
        <v>31</v>
      </c>
      <c r="G19" s="262" t="s">
        <v>32</v>
      </c>
      <c r="H19" s="262" t="s">
        <v>33</v>
      </c>
    </row>
    <row r="20" spans="1:8" ht="14.25" customHeight="1" x14ac:dyDescent="0.2">
      <c r="A20" s="279"/>
      <c r="B20" s="260"/>
      <c r="C20" s="260"/>
      <c r="D20" s="260"/>
      <c r="E20" s="260"/>
      <c r="F20" s="263"/>
      <c r="G20" s="263"/>
      <c r="H20" s="263"/>
    </row>
    <row r="21" spans="1:8" ht="14.25" x14ac:dyDescent="0.2">
      <c r="A21" s="123" t="s">
        <v>779</v>
      </c>
      <c r="B21" s="250"/>
      <c r="C21" s="250"/>
      <c r="D21" s="250"/>
      <c r="E21" s="250"/>
      <c r="F21" s="124">
        <f>F22+F75+F81+F174+F253+F284+F291+F440+F543+F676+F775+F809+F828+F850+F1132+F839</f>
        <v>8085778.2207099972</v>
      </c>
      <c r="G21" s="124">
        <f>G22+G75+G81+G174+G253+G284+G291+G440+G543+G676+G775+G809+G828+G850+G1132+G839</f>
        <v>7109594.8770000003</v>
      </c>
      <c r="H21" s="124">
        <f>H22+H75+H81+H174+H253+H284+H291+H440+H543+H676+H775+H809+H828+H850+H1132+H839</f>
        <v>6457399.3950999994</v>
      </c>
    </row>
    <row r="22" spans="1:8" s="5" customFormat="1" ht="15" x14ac:dyDescent="0.2">
      <c r="A22" s="80" t="s">
        <v>217</v>
      </c>
      <c r="B22" s="198" t="s">
        <v>218</v>
      </c>
      <c r="C22" s="79"/>
      <c r="D22" s="79"/>
      <c r="E22" s="90"/>
      <c r="F22" s="78">
        <f>F23+F59</f>
        <v>83000</v>
      </c>
      <c r="G22" s="78">
        <f>G23+G59</f>
        <v>96008</v>
      </c>
      <c r="H22" s="78">
        <f>H23+H59</f>
        <v>93131</v>
      </c>
    </row>
    <row r="23" spans="1:8" s="26" customFormat="1" ht="24" x14ac:dyDescent="0.2">
      <c r="A23" s="146" t="s">
        <v>219</v>
      </c>
      <c r="B23" s="147" t="s">
        <v>220</v>
      </c>
      <c r="C23" s="32"/>
      <c r="D23" s="32"/>
      <c r="E23" s="54"/>
      <c r="F23" s="114">
        <f>F24+F29+F34+F39+F44+F49+F54</f>
        <v>80950</v>
      </c>
      <c r="G23" s="114">
        <f>G24+G29+G34+G39+G44+G49+G54</f>
        <v>84958</v>
      </c>
      <c r="H23" s="114">
        <f>H24+H29+H34+H39+H44+H49+H54</f>
        <v>87081</v>
      </c>
    </row>
    <row r="24" spans="1:8" s="26" customFormat="1" ht="12" x14ac:dyDescent="0.2">
      <c r="A24" s="148" t="s">
        <v>221</v>
      </c>
      <c r="B24" s="149" t="s">
        <v>222</v>
      </c>
      <c r="C24" s="30"/>
      <c r="D24" s="30"/>
      <c r="E24" s="55"/>
      <c r="F24" s="100">
        <f>F27</f>
        <v>3062</v>
      </c>
      <c r="G24" s="100">
        <f>G27</f>
        <v>5350</v>
      </c>
      <c r="H24" s="100">
        <f>H27</f>
        <v>5350</v>
      </c>
    </row>
    <row r="25" spans="1:8" s="26" customFormat="1" ht="12" x14ac:dyDescent="0.2">
      <c r="A25" s="50" t="s">
        <v>172</v>
      </c>
      <c r="B25" s="51" t="s">
        <v>222</v>
      </c>
      <c r="C25" s="30" t="s">
        <v>173</v>
      </c>
      <c r="D25" s="30"/>
      <c r="E25" s="55"/>
      <c r="F25" s="100">
        <f>F26</f>
        <v>3062</v>
      </c>
      <c r="G25" s="100">
        <f t="shared" ref="G25:H27" si="0">G26</f>
        <v>5350</v>
      </c>
      <c r="H25" s="100">
        <f t="shared" si="0"/>
        <v>5350</v>
      </c>
    </row>
    <row r="26" spans="1:8" s="26" customFormat="1" ht="12" x14ac:dyDescent="0.2">
      <c r="A26" s="50" t="s">
        <v>215</v>
      </c>
      <c r="B26" s="51" t="s">
        <v>222</v>
      </c>
      <c r="C26" s="30" t="s">
        <v>173</v>
      </c>
      <c r="D26" s="30" t="s">
        <v>216</v>
      </c>
      <c r="E26" s="55"/>
      <c r="F26" s="100">
        <f>F27</f>
        <v>3062</v>
      </c>
      <c r="G26" s="100">
        <f t="shared" si="0"/>
        <v>5350</v>
      </c>
      <c r="H26" s="100">
        <f t="shared" si="0"/>
        <v>5350</v>
      </c>
    </row>
    <row r="27" spans="1:8" s="26" customFormat="1" ht="12" x14ac:dyDescent="0.2">
      <c r="A27" s="35" t="s">
        <v>195</v>
      </c>
      <c r="B27" s="44" t="s">
        <v>222</v>
      </c>
      <c r="C27" s="36" t="s">
        <v>173</v>
      </c>
      <c r="D27" s="36" t="s">
        <v>216</v>
      </c>
      <c r="E27" s="48">
        <v>200</v>
      </c>
      <c r="F27" s="98">
        <f>F28</f>
        <v>3062</v>
      </c>
      <c r="G27" s="98">
        <f t="shared" si="0"/>
        <v>5350</v>
      </c>
      <c r="H27" s="98">
        <f t="shared" si="0"/>
        <v>5350</v>
      </c>
    </row>
    <row r="28" spans="1:8" s="26" customFormat="1" ht="12" x14ac:dyDescent="0.2">
      <c r="A28" s="35" t="s">
        <v>197</v>
      </c>
      <c r="B28" s="44" t="s">
        <v>222</v>
      </c>
      <c r="C28" s="36" t="s">
        <v>173</v>
      </c>
      <c r="D28" s="36" t="s">
        <v>216</v>
      </c>
      <c r="E28" s="48">
        <v>240</v>
      </c>
      <c r="F28" s="98">
        <v>3062</v>
      </c>
      <c r="G28" s="98">
        <v>5350</v>
      </c>
      <c r="H28" s="98">
        <v>5350</v>
      </c>
    </row>
    <row r="29" spans="1:8" s="26" customFormat="1" ht="24" x14ac:dyDescent="0.2">
      <c r="A29" s="148" t="s">
        <v>223</v>
      </c>
      <c r="B29" s="149" t="s">
        <v>224</v>
      </c>
      <c r="C29" s="36"/>
      <c r="D29" s="36"/>
      <c r="E29" s="48"/>
      <c r="F29" s="100">
        <f>F32</f>
        <v>1000</v>
      </c>
      <c r="G29" s="100">
        <f>G32</f>
        <v>1100</v>
      </c>
      <c r="H29" s="100">
        <f>H32</f>
        <v>1100</v>
      </c>
    </row>
    <row r="30" spans="1:8" s="26" customFormat="1" ht="12" x14ac:dyDescent="0.2">
      <c r="A30" s="50" t="s">
        <v>172</v>
      </c>
      <c r="B30" s="51" t="s">
        <v>224</v>
      </c>
      <c r="C30" s="30" t="s">
        <v>173</v>
      </c>
      <c r="D30" s="30"/>
      <c r="E30" s="48"/>
      <c r="F30" s="100">
        <f>F31</f>
        <v>1000</v>
      </c>
      <c r="G30" s="100">
        <f t="shared" ref="G30:H32" si="1">G31</f>
        <v>1100</v>
      </c>
      <c r="H30" s="100">
        <f t="shared" si="1"/>
        <v>1100</v>
      </c>
    </row>
    <row r="31" spans="1:8" s="26" customFormat="1" ht="12" x14ac:dyDescent="0.2">
      <c r="A31" s="50" t="s">
        <v>215</v>
      </c>
      <c r="B31" s="51" t="s">
        <v>224</v>
      </c>
      <c r="C31" s="30" t="s">
        <v>173</v>
      </c>
      <c r="D31" s="30" t="s">
        <v>216</v>
      </c>
      <c r="E31" s="48"/>
      <c r="F31" s="100">
        <f>F32</f>
        <v>1000</v>
      </c>
      <c r="G31" s="100">
        <f t="shared" si="1"/>
        <v>1100</v>
      </c>
      <c r="H31" s="100">
        <f t="shared" si="1"/>
        <v>1100</v>
      </c>
    </row>
    <row r="32" spans="1:8" s="26" customFormat="1" ht="12" x14ac:dyDescent="0.2">
      <c r="A32" s="35" t="s">
        <v>195</v>
      </c>
      <c r="B32" s="44" t="s">
        <v>224</v>
      </c>
      <c r="C32" s="36" t="s">
        <v>173</v>
      </c>
      <c r="D32" s="36" t="s">
        <v>216</v>
      </c>
      <c r="E32" s="48">
        <v>200</v>
      </c>
      <c r="F32" s="98">
        <f>F33</f>
        <v>1000</v>
      </c>
      <c r="G32" s="98">
        <f t="shared" si="1"/>
        <v>1100</v>
      </c>
      <c r="H32" s="98">
        <f t="shared" si="1"/>
        <v>1100</v>
      </c>
    </row>
    <row r="33" spans="1:8" s="26" customFormat="1" ht="12" x14ac:dyDescent="0.2">
      <c r="A33" s="35" t="s">
        <v>197</v>
      </c>
      <c r="B33" s="44" t="s">
        <v>224</v>
      </c>
      <c r="C33" s="36" t="s">
        <v>173</v>
      </c>
      <c r="D33" s="36" t="s">
        <v>216</v>
      </c>
      <c r="E33" s="48">
        <v>240</v>
      </c>
      <c r="F33" s="98">
        <v>1000</v>
      </c>
      <c r="G33" s="98">
        <v>1100</v>
      </c>
      <c r="H33" s="98">
        <v>1100</v>
      </c>
    </row>
    <row r="34" spans="1:8" s="26" customFormat="1" ht="24" x14ac:dyDescent="0.2">
      <c r="A34" s="148" t="s">
        <v>225</v>
      </c>
      <c r="B34" s="149" t="s">
        <v>226</v>
      </c>
      <c r="C34" s="30"/>
      <c r="D34" s="30"/>
      <c r="E34" s="48"/>
      <c r="F34" s="100">
        <f>F37</f>
        <v>3090</v>
      </c>
      <c r="G34" s="100">
        <f>G37</f>
        <v>2910</v>
      </c>
      <c r="H34" s="100">
        <f>H37</f>
        <v>4961</v>
      </c>
    </row>
    <row r="35" spans="1:8" s="26" customFormat="1" ht="12" x14ac:dyDescent="0.2">
      <c r="A35" s="50" t="s">
        <v>172</v>
      </c>
      <c r="B35" s="51" t="s">
        <v>226</v>
      </c>
      <c r="C35" s="30" t="s">
        <v>173</v>
      </c>
      <c r="D35" s="30"/>
      <c r="E35" s="48"/>
      <c r="F35" s="100">
        <f>F36</f>
        <v>3090</v>
      </c>
      <c r="G35" s="100">
        <f t="shared" ref="G35:H37" si="2">G36</f>
        <v>2910</v>
      </c>
      <c r="H35" s="100">
        <f t="shared" si="2"/>
        <v>4961</v>
      </c>
    </row>
    <row r="36" spans="1:8" s="26" customFormat="1" ht="12" x14ac:dyDescent="0.2">
      <c r="A36" s="50" t="s">
        <v>215</v>
      </c>
      <c r="B36" s="51" t="s">
        <v>226</v>
      </c>
      <c r="C36" s="30" t="s">
        <v>173</v>
      </c>
      <c r="D36" s="30" t="s">
        <v>216</v>
      </c>
      <c r="E36" s="48"/>
      <c r="F36" s="100">
        <f>F37</f>
        <v>3090</v>
      </c>
      <c r="G36" s="100">
        <f t="shared" si="2"/>
        <v>2910</v>
      </c>
      <c r="H36" s="100">
        <f t="shared" si="2"/>
        <v>4961</v>
      </c>
    </row>
    <row r="37" spans="1:8" s="26" customFormat="1" ht="12" x14ac:dyDescent="0.2">
      <c r="A37" s="35" t="s">
        <v>195</v>
      </c>
      <c r="B37" s="44" t="s">
        <v>226</v>
      </c>
      <c r="C37" s="36" t="s">
        <v>173</v>
      </c>
      <c r="D37" s="36" t="s">
        <v>216</v>
      </c>
      <c r="E37" s="48">
        <v>200</v>
      </c>
      <c r="F37" s="98">
        <f>F38</f>
        <v>3090</v>
      </c>
      <c r="G37" s="98">
        <f t="shared" si="2"/>
        <v>2910</v>
      </c>
      <c r="H37" s="98">
        <f t="shared" si="2"/>
        <v>4961</v>
      </c>
    </row>
    <row r="38" spans="1:8" s="26" customFormat="1" ht="12" x14ac:dyDescent="0.2">
      <c r="A38" s="35" t="s">
        <v>197</v>
      </c>
      <c r="B38" s="44" t="s">
        <v>226</v>
      </c>
      <c r="C38" s="36" t="s">
        <v>173</v>
      </c>
      <c r="D38" s="36" t="s">
        <v>216</v>
      </c>
      <c r="E38" s="48">
        <v>240</v>
      </c>
      <c r="F38" s="98">
        <f>4050-1200+240</f>
        <v>3090</v>
      </c>
      <c r="G38" s="98">
        <f>4510-1600</f>
        <v>2910</v>
      </c>
      <c r="H38" s="98">
        <v>4961</v>
      </c>
    </row>
    <row r="39" spans="1:8" s="26" customFormat="1" ht="24" x14ac:dyDescent="0.2">
      <c r="A39" s="148" t="s">
        <v>227</v>
      </c>
      <c r="B39" s="149" t="s">
        <v>228</v>
      </c>
      <c r="C39" s="36"/>
      <c r="D39" s="36"/>
      <c r="E39" s="48"/>
      <c r="F39" s="100">
        <f>F42</f>
        <v>3011</v>
      </c>
      <c r="G39" s="100">
        <f>G42</f>
        <v>4430</v>
      </c>
      <c r="H39" s="100">
        <f>H42</f>
        <v>3100</v>
      </c>
    </row>
    <row r="40" spans="1:8" s="26" customFormat="1" ht="12" x14ac:dyDescent="0.2">
      <c r="A40" s="50" t="s">
        <v>172</v>
      </c>
      <c r="B40" s="51" t="s">
        <v>228</v>
      </c>
      <c r="C40" s="30" t="s">
        <v>173</v>
      </c>
      <c r="D40" s="30"/>
      <c r="E40" s="48"/>
      <c r="F40" s="100">
        <f>F41</f>
        <v>3011</v>
      </c>
      <c r="G40" s="100">
        <f t="shared" ref="G40:H42" si="3">G41</f>
        <v>4430</v>
      </c>
      <c r="H40" s="100">
        <f t="shared" si="3"/>
        <v>3100</v>
      </c>
    </row>
    <row r="41" spans="1:8" s="26" customFormat="1" ht="12" x14ac:dyDescent="0.2">
      <c r="A41" s="50" t="s">
        <v>215</v>
      </c>
      <c r="B41" s="51" t="s">
        <v>228</v>
      </c>
      <c r="C41" s="30" t="s">
        <v>173</v>
      </c>
      <c r="D41" s="30" t="s">
        <v>216</v>
      </c>
      <c r="E41" s="48"/>
      <c r="F41" s="100">
        <f>F42</f>
        <v>3011</v>
      </c>
      <c r="G41" s="100">
        <f t="shared" si="3"/>
        <v>4430</v>
      </c>
      <c r="H41" s="100">
        <f t="shared" si="3"/>
        <v>3100</v>
      </c>
    </row>
    <row r="42" spans="1:8" s="26" customFormat="1" ht="12" x14ac:dyDescent="0.2">
      <c r="A42" s="35" t="s">
        <v>195</v>
      </c>
      <c r="B42" s="44" t="s">
        <v>228</v>
      </c>
      <c r="C42" s="36" t="s">
        <v>173</v>
      </c>
      <c r="D42" s="36" t="s">
        <v>216</v>
      </c>
      <c r="E42" s="48">
        <v>200</v>
      </c>
      <c r="F42" s="98">
        <f>F43</f>
        <v>3011</v>
      </c>
      <c r="G42" s="98">
        <f t="shared" si="3"/>
        <v>4430</v>
      </c>
      <c r="H42" s="98">
        <f t="shared" si="3"/>
        <v>3100</v>
      </c>
    </row>
    <row r="43" spans="1:8" s="26" customFormat="1" ht="12" x14ac:dyDescent="0.2">
      <c r="A43" s="35" t="s">
        <v>197</v>
      </c>
      <c r="B43" s="44" t="s">
        <v>228</v>
      </c>
      <c r="C43" s="36" t="s">
        <v>173</v>
      </c>
      <c r="D43" s="36" t="s">
        <v>216</v>
      </c>
      <c r="E43" s="48">
        <v>240</v>
      </c>
      <c r="F43" s="98">
        <f>2570+1200-759</f>
        <v>3011</v>
      </c>
      <c r="G43" s="98">
        <f>2830+1600</f>
        <v>4430</v>
      </c>
      <c r="H43" s="98">
        <v>3100</v>
      </c>
    </row>
    <row r="44" spans="1:8" s="26" customFormat="1" ht="12" x14ac:dyDescent="0.2">
      <c r="A44" s="148" t="s">
        <v>229</v>
      </c>
      <c r="B44" s="149" t="s">
        <v>230</v>
      </c>
      <c r="C44" s="30"/>
      <c r="D44" s="30"/>
      <c r="E44" s="48"/>
      <c r="F44" s="100">
        <f>F47</f>
        <v>6100</v>
      </c>
      <c r="G44" s="100">
        <f>G47</f>
        <v>7000</v>
      </c>
      <c r="H44" s="100">
        <f>H47</f>
        <v>7000</v>
      </c>
    </row>
    <row r="45" spans="1:8" s="26" customFormat="1" ht="12" x14ac:dyDescent="0.2">
      <c r="A45" s="50" t="s">
        <v>172</v>
      </c>
      <c r="B45" s="51" t="s">
        <v>230</v>
      </c>
      <c r="C45" s="30" t="s">
        <v>173</v>
      </c>
      <c r="D45" s="30"/>
      <c r="E45" s="48"/>
      <c r="F45" s="100">
        <f>F46</f>
        <v>6100</v>
      </c>
      <c r="G45" s="100">
        <f t="shared" ref="G45:H47" si="4">G46</f>
        <v>7000</v>
      </c>
      <c r="H45" s="100">
        <f t="shared" si="4"/>
        <v>7000</v>
      </c>
    </row>
    <row r="46" spans="1:8" s="26" customFormat="1" ht="12" x14ac:dyDescent="0.2">
      <c r="A46" s="50" t="s">
        <v>215</v>
      </c>
      <c r="B46" s="51" t="s">
        <v>230</v>
      </c>
      <c r="C46" s="30" t="s">
        <v>173</v>
      </c>
      <c r="D46" s="30" t="s">
        <v>216</v>
      </c>
      <c r="E46" s="48"/>
      <c r="F46" s="100">
        <f>F47</f>
        <v>6100</v>
      </c>
      <c r="G46" s="100">
        <f t="shared" si="4"/>
        <v>7000</v>
      </c>
      <c r="H46" s="100">
        <f t="shared" si="4"/>
        <v>7000</v>
      </c>
    </row>
    <row r="47" spans="1:8" s="26" customFormat="1" ht="12" x14ac:dyDescent="0.2">
      <c r="A47" s="35" t="s">
        <v>195</v>
      </c>
      <c r="B47" s="44" t="s">
        <v>230</v>
      </c>
      <c r="C47" s="36" t="s">
        <v>173</v>
      </c>
      <c r="D47" s="36" t="s">
        <v>216</v>
      </c>
      <c r="E47" s="48">
        <v>200</v>
      </c>
      <c r="F47" s="98">
        <f>F48</f>
        <v>6100</v>
      </c>
      <c r="G47" s="98">
        <f t="shared" si="4"/>
        <v>7000</v>
      </c>
      <c r="H47" s="98">
        <f t="shared" si="4"/>
        <v>7000</v>
      </c>
    </row>
    <row r="48" spans="1:8" s="26" customFormat="1" ht="12" x14ac:dyDescent="0.2">
      <c r="A48" s="35" t="s">
        <v>197</v>
      </c>
      <c r="B48" s="44" t="s">
        <v>230</v>
      </c>
      <c r="C48" s="36" t="s">
        <v>173</v>
      </c>
      <c r="D48" s="36" t="s">
        <v>216</v>
      </c>
      <c r="E48" s="48">
        <v>240</v>
      </c>
      <c r="F48" s="98">
        <v>6100</v>
      </c>
      <c r="G48" s="98">
        <v>7000</v>
      </c>
      <c r="H48" s="98">
        <v>7000</v>
      </c>
    </row>
    <row r="49" spans="1:8" s="26" customFormat="1" ht="15.75" customHeight="1" x14ac:dyDescent="0.2">
      <c r="A49" s="148" t="s">
        <v>231</v>
      </c>
      <c r="B49" s="149" t="s">
        <v>232</v>
      </c>
      <c r="C49" s="30"/>
      <c r="D49" s="30"/>
      <c r="E49" s="48"/>
      <c r="F49" s="100">
        <f>F52</f>
        <v>42468</v>
      </c>
      <c r="G49" s="100">
        <f>G52</f>
        <v>42468</v>
      </c>
      <c r="H49" s="100">
        <f>H52</f>
        <v>46700</v>
      </c>
    </row>
    <row r="50" spans="1:8" s="26" customFormat="1" ht="12" x14ac:dyDescent="0.2">
      <c r="A50" s="50" t="s">
        <v>172</v>
      </c>
      <c r="B50" s="51" t="s">
        <v>232</v>
      </c>
      <c r="C50" s="30" t="s">
        <v>173</v>
      </c>
      <c r="D50" s="30"/>
      <c r="E50" s="48"/>
      <c r="F50" s="100">
        <f>F51</f>
        <v>42468</v>
      </c>
      <c r="G50" s="100">
        <f t="shared" ref="G50:H52" si="5">G51</f>
        <v>42468</v>
      </c>
      <c r="H50" s="100">
        <f t="shared" si="5"/>
        <v>46700</v>
      </c>
    </row>
    <row r="51" spans="1:8" s="26" customFormat="1" ht="12" x14ac:dyDescent="0.2">
      <c r="A51" s="50" t="s">
        <v>215</v>
      </c>
      <c r="B51" s="51" t="s">
        <v>232</v>
      </c>
      <c r="C51" s="30" t="s">
        <v>173</v>
      </c>
      <c r="D51" s="30" t="s">
        <v>216</v>
      </c>
      <c r="E51" s="48"/>
      <c r="F51" s="100">
        <f>F52</f>
        <v>42468</v>
      </c>
      <c r="G51" s="100">
        <f t="shared" si="5"/>
        <v>42468</v>
      </c>
      <c r="H51" s="100">
        <f t="shared" si="5"/>
        <v>46700</v>
      </c>
    </row>
    <row r="52" spans="1:8" s="26" customFormat="1" ht="12" x14ac:dyDescent="0.2">
      <c r="A52" s="35" t="s">
        <v>195</v>
      </c>
      <c r="B52" s="44" t="s">
        <v>232</v>
      </c>
      <c r="C52" s="36" t="s">
        <v>173</v>
      </c>
      <c r="D52" s="36" t="s">
        <v>216</v>
      </c>
      <c r="E52" s="48">
        <v>200</v>
      </c>
      <c r="F52" s="98">
        <f>F53</f>
        <v>42468</v>
      </c>
      <c r="G52" s="98">
        <f t="shared" si="5"/>
        <v>42468</v>
      </c>
      <c r="H52" s="98">
        <f t="shared" si="5"/>
        <v>46700</v>
      </c>
    </row>
    <row r="53" spans="1:8" s="26" customFormat="1" ht="12" x14ac:dyDescent="0.2">
      <c r="A53" s="35" t="s">
        <v>197</v>
      </c>
      <c r="B53" s="44" t="s">
        <v>232</v>
      </c>
      <c r="C53" s="36" t="s">
        <v>173</v>
      </c>
      <c r="D53" s="36" t="s">
        <v>216</v>
      </c>
      <c r="E53" s="48">
        <v>240</v>
      </c>
      <c r="F53" s="98">
        <v>42468</v>
      </c>
      <c r="G53" s="98">
        <v>42468</v>
      </c>
      <c r="H53" s="98">
        <v>46700</v>
      </c>
    </row>
    <row r="54" spans="1:8" s="26" customFormat="1" ht="24" x14ac:dyDescent="0.2">
      <c r="A54" s="75" t="s">
        <v>233</v>
      </c>
      <c r="B54" s="149" t="s">
        <v>234</v>
      </c>
      <c r="C54" s="36"/>
      <c r="D54" s="36"/>
      <c r="E54" s="48"/>
      <c r="F54" s="100">
        <f>F57</f>
        <v>22219</v>
      </c>
      <c r="G54" s="100">
        <f>G57</f>
        <v>21700</v>
      </c>
      <c r="H54" s="100">
        <f>H57</f>
        <v>18870</v>
      </c>
    </row>
    <row r="55" spans="1:8" s="26" customFormat="1" ht="12" x14ac:dyDescent="0.2">
      <c r="A55" s="50" t="s">
        <v>172</v>
      </c>
      <c r="B55" s="51" t="s">
        <v>234</v>
      </c>
      <c r="C55" s="30" t="s">
        <v>173</v>
      </c>
      <c r="D55" s="30"/>
      <c r="E55" s="48"/>
      <c r="F55" s="100">
        <f>F56</f>
        <v>22219</v>
      </c>
      <c r="G55" s="100">
        <f t="shared" ref="G55:H57" si="6">G56</f>
        <v>21700</v>
      </c>
      <c r="H55" s="100">
        <f t="shared" si="6"/>
        <v>18870</v>
      </c>
    </row>
    <row r="56" spans="1:8" s="26" customFormat="1" ht="12" x14ac:dyDescent="0.2">
      <c r="A56" s="50" t="s">
        <v>215</v>
      </c>
      <c r="B56" s="51" t="s">
        <v>234</v>
      </c>
      <c r="C56" s="30" t="s">
        <v>173</v>
      </c>
      <c r="D56" s="30" t="s">
        <v>216</v>
      </c>
      <c r="E56" s="48"/>
      <c r="F56" s="100">
        <f>F57</f>
        <v>22219</v>
      </c>
      <c r="G56" s="100">
        <f t="shared" si="6"/>
        <v>21700</v>
      </c>
      <c r="H56" s="100">
        <f t="shared" si="6"/>
        <v>18870</v>
      </c>
    </row>
    <row r="57" spans="1:8" s="26" customFormat="1" ht="12" x14ac:dyDescent="0.2">
      <c r="A57" s="35" t="s">
        <v>195</v>
      </c>
      <c r="B57" s="44" t="s">
        <v>234</v>
      </c>
      <c r="C57" s="36" t="s">
        <v>173</v>
      </c>
      <c r="D57" s="36" t="s">
        <v>216</v>
      </c>
      <c r="E57" s="48">
        <v>200</v>
      </c>
      <c r="F57" s="98">
        <f>F58</f>
        <v>22219</v>
      </c>
      <c r="G57" s="98">
        <f t="shared" si="6"/>
        <v>21700</v>
      </c>
      <c r="H57" s="98">
        <f t="shared" si="6"/>
        <v>18870</v>
      </c>
    </row>
    <row r="58" spans="1:8" s="26" customFormat="1" ht="12" x14ac:dyDescent="0.2">
      <c r="A58" s="35" t="s">
        <v>197</v>
      </c>
      <c r="B58" s="44" t="s">
        <v>234</v>
      </c>
      <c r="C58" s="36" t="s">
        <v>173</v>
      </c>
      <c r="D58" s="36" t="s">
        <v>216</v>
      </c>
      <c r="E58" s="48">
        <v>240</v>
      </c>
      <c r="F58" s="98">
        <f>21700+519</f>
        <v>22219</v>
      </c>
      <c r="G58" s="98">
        <v>21700</v>
      </c>
      <c r="H58" s="98">
        <f>23870-5000</f>
        <v>18870</v>
      </c>
    </row>
    <row r="59" spans="1:8" s="26" customFormat="1" ht="12" x14ac:dyDescent="0.2">
      <c r="A59" s="129" t="s">
        <v>235</v>
      </c>
      <c r="B59" s="147" t="s">
        <v>236</v>
      </c>
      <c r="C59" s="30"/>
      <c r="D59" s="30"/>
      <c r="E59" s="48"/>
      <c r="F59" s="114">
        <f>F60+F65+F70</f>
        <v>2050</v>
      </c>
      <c r="G59" s="114">
        <f>G60+G65+G70</f>
        <v>11050</v>
      </c>
      <c r="H59" s="114">
        <f>H60+H65+H70</f>
        <v>6050</v>
      </c>
    </row>
    <row r="60" spans="1:8" s="26" customFormat="1" ht="12" x14ac:dyDescent="0.2">
      <c r="A60" s="75" t="s">
        <v>237</v>
      </c>
      <c r="B60" s="74" t="s">
        <v>238</v>
      </c>
      <c r="C60" s="30"/>
      <c r="D60" s="30"/>
      <c r="E60" s="48"/>
      <c r="F60" s="100">
        <f>F63</f>
        <v>50</v>
      </c>
      <c r="G60" s="100">
        <f>G63</f>
        <v>50</v>
      </c>
      <c r="H60" s="100">
        <f>H63</f>
        <v>50</v>
      </c>
    </row>
    <row r="61" spans="1:8" s="26" customFormat="1" ht="12" x14ac:dyDescent="0.2">
      <c r="A61" s="50" t="s">
        <v>172</v>
      </c>
      <c r="B61" s="30" t="s">
        <v>238</v>
      </c>
      <c r="C61" s="30" t="s">
        <v>173</v>
      </c>
      <c r="D61" s="30"/>
      <c r="E61" s="55"/>
      <c r="F61" s="100">
        <f>F62</f>
        <v>50</v>
      </c>
      <c r="G61" s="100">
        <f t="shared" ref="G61:H63" si="7">G62</f>
        <v>50</v>
      </c>
      <c r="H61" s="100">
        <f t="shared" si="7"/>
        <v>50</v>
      </c>
    </row>
    <row r="62" spans="1:8" s="26" customFormat="1" ht="12" x14ac:dyDescent="0.2">
      <c r="A62" s="50" t="s">
        <v>215</v>
      </c>
      <c r="B62" s="30" t="s">
        <v>238</v>
      </c>
      <c r="C62" s="30" t="s">
        <v>173</v>
      </c>
      <c r="D62" s="30" t="s">
        <v>216</v>
      </c>
      <c r="E62" s="55"/>
      <c r="F62" s="100">
        <f>F63</f>
        <v>50</v>
      </c>
      <c r="G62" s="100">
        <f t="shared" si="7"/>
        <v>50</v>
      </c>
      <c r="H62" s="100">
        <f t="shared" si="7"/>
        <v>50</v>
      </c>
    </row>
    <row r="63" spans="1:8" s="26" customFormat="1" ht="12" x14ac:dyDescent="0.2">
      <c r="A63" s="35" t="s">
        <v>195</v>
      </c>
      <c r="B63" s="44" t="s">
        <v>238</v>
      </c>
      <c r="C63" s="36" t="s">
        <v>173</v>
      </c>
      <c r="D63" s="36" t="s">
        <v>216</v>
      </c>
      <c r="E63" s="48">
        <v>200</v>
      </c>
      <c r="F63" s="98">
        <f>F64</f>
        <v>50</v>
      </c>
      <c r="G63" s="98">
        <f t="shared" si="7"/>
        <v>50</v>
      </c>
      <c r="H63" s="98">
        <f t="shared" si="7"/>
        <v>50</v>
      </c>
    </row>
    <row r="64" spans="1:8" s="26" customFormat="1" ht="12" x14ac:dyDescent="0.2">
      <c r="A64" s="35" t="s">
        <v>197</v>
      </c>
      <c r="B64" s="44" t="s">
        <v>238</v>
      </c>
      <c r="C64" s="36" t="s">
        <v>173</v>
      </c>
      <c r="D64" s="36" t="s">
        <v>216</v>
      </c>
      <c r="E64" s="48">
        <v>240</v>
      </c>
      <c r="F64" s="98">
        <v>50</v>
      </c>
      <c r="G64" s="98">
        <v>50</v>
      </c>
      <c r="H64" s="98">
        <v>50</v>
      </c>
    </row>
    <row r="65" spans="1:8" s="26" customFormat="1" ht="12" x14ac:dyDescent="0.2">
      <c r="A65" s="75" t="s">
        <v>239</v>
      </c>
      <c r="B65" s="149" t="s">
        <v>240</v>
      </c>
      <c r="C65" s="30"/>
      <c r="D65" s="30"/>
      <c r="E65" s="48"/>
      <c r="F65" s="100">
        <f>F68</f>
        <v>2000</v>
      </c>
      <c r="G65" s="100">
        <f>G68</f>
        <v>10000</v>
      </c>
      <c r="H65" s="100">
        <f>H68</f>
        <v>5000</v>
      </c>
    </row>
    <row r="66" spans="1:8" s="26" customFormat="1" ht="12" x14ac:dyDescent="0.2">
      <c r="A66" s="50" t="s">
        <v>172</v>
      </c>
      <c r="B66" s="51" t="s">
        <v>240</v>
      </c>
      <c r="C66" s="30" t="s">
        <v>173</v>
      </c>
      <c r="D66" s="30"/>
      <c r="E66" s="55"/>
      <c r="F66" s="100">
        <f>F67</f>
        <v>2000</v>
      </c>
      <c r="G66" s="100">
        <f t="shared" ref="G66:H68" si="8">G67</f>
        <v>10000</v>
      </c>
      <c r="H66" s="100">
        <f t="shared" si="8"/>
        <v>5000</v>
      </c>
    </row>
    <row r="67" spans="1:8" s="26" customFormat="1" ht="12" x14ac:dyDescent="0.2">
      <c r="A67" s="50" t="s">
        <v>215</v>
      </c>
      <c r="B67" s="51" t="s">
        <v>240</v>
      </c>
      <c r="C67" s="30" t="s">
        <v>173</v>
      </c>
      <c r="D67" s="30" t="s">
        <v>216</v>
      </c>
      <c r="E67" s="55"/>
      <c r="F67" s="100">
        <f>F68</f>
        <v>2000</v>
      </c>
      <c r="G67" s="100">
        <f t="shared" si="8"/>
        <v>10000</v>
      </c>
      <c r="H67" s="100">
        <f t="shared" si="8"/>
        <v>5000</v>
      </c>
    </row>
    <row r="68" spans="1:8" s="26" customFormat="1" ht="12" x14ac:dyDescent="0.2">
      <c r="A68" s="35" t="s">
        <v>195</v>
      </c>
      <c r="B68" s="44" t="s">
        <v>240</v>
      </c>
      <c r="C68" s="36" t="s">
        <v>173</v>
      </c>
      <c r="D68" s="36" t="s">
        <v>216</v>
      </c>
      <c r="E68" s="48">
        <v>200</v>
      </c>
      <c r="F68" s="98">
        <f>F69</f>
        <v>2000</v>
      </c>
      <c r="G68" s="98">
        <f t="shared" si="8"/>
        <v>10000</v>
      </c>
      <c r="H68" s="98">
        <f t="shared" si="8"/>
        <v>5000</v>
      </c>
    </row>
    <row r="69" spans="1:8" s="26" customFormat="1" ht="12" x14ac:dyDescent="0.2">
      <c r="A69" s="35" t="s">
        <v>197</v>
      </c>
      <c r="B69" s="44" t="s">
        <v>240</v>
      </c>
      <c r="C69" s="36" t="s">
        <v>173</v>
      </c>
      <c r="D69" s="36" t="s">
        <v>216</v>
      </c>
      <c r="E69" s="48">
        <v>240</v>
      </c>
      <c r="F69" s="98">
        <v>2000</v>
      </c>
      <c r="G69" s="98">
        <v>10000</v>
      </c>
      <c r="H69" s="98">
        <v>5000</v>
      </c>
    </row>
    <row r="70" spans="1:8" s="26" customFormat="1" ht="12" x14ac:dyDescent="0.2">
      <c r="A70" s="75" t="s">
        <v>241</v>
      </c>
      <c r="B70" s="149" t="s">
        <v>242</v>
      </c>
      <c r="C70" s="36"/>
      <c r="D70" s="36"/>
      <c r="E70" s="48"/>
      <c r="F70" s="127">
        <f>F73</f>
        <v>0</v>
      </c>
      <c r="G70" s="100">
        <f>G73</f>
        <v>1000</v>
      </c>
      <c r="H70" s="100">
        <f>H73</f>
        <v>1000</v>
      </c>
    </row>
    <row r="71" spans="1:8" s="26" customFormat="1" ht="12" x14ac:dyDescent="0.2">
      <c r="A71" s="50" t="s">
        <v>172</v>
      </c>
      <c r="B71" s="51" t="s">
        <v>242</v>
      </c>
      <c r="C71" s="30" t="s">
        <v>173</v>
      </c>
      <c r="D71" s="30"/>
      <c r="E71" s="55"/>
      <c r="F71" s="127">
        <f>F72</f>
        <v>0</v>
      </c>
      <c r="G71" s="127">
        <f t="shared" ref="G71:H73" si="9">G72</f>
        <v>1000</v>
      </c>
      <c r="H71" s="127">
        <f t="shared" si="9"/>
        <v>1000</v>
      </c>
    </row>
    <row r="72" spans="1:8" s="26" customFormat="1" ht="12" x14ac:dyDescent="0.2">
      <c r="A72" s="50" t="s">
        <v>215</v>
      </c>
      <c r="B72" s="51" t="s">
        <v>242</v>
      </c>
      <c r="C72" s="30" t="s">
        <v>173</v>
      </c>
      <c r="D72" s="30" t="s">
        <v>216</v>
      </c>
      <c r="E72" s="55"/>
      <c r="F72" s="127">
        <f>F73</f>
        <v>0</v>
      </c>
      <c r="G72" s="127">
        <f t="shared" si="9"/>
        <v>1000</v>
      </c>
      <c r="H72" s="127">
        <f t="shared" si="9"/>
        <v>1000</v>
      </c>
    </row>
    <row r="73" spans="1:8" s="26" customFormat="1" ht="12" x14ac:dyDescent="0.2">
      <c r="A73" s="35" t="s">
        <v>195</v>
      </c>
      <c r="B73" s="44" t="s">
        <v>242</v>
      </c>
      <c r="C73" s="36" t="s">
        <v>173</v>
      </c>
      <c r="D73" s="36" t="s">
        <v>216</v>
      </c>
      <c r="E73" s="48">
        <v>200</v>
      </c>
      <c r="F73" s="115">
        <f>F74</f>
        <v>0</v>
      </c>
      <c r="G73" s="98">
        <f t="shared" si="9"/>
        <v>1000</v>
      </c>
      <c r="H73" s="98">
        <f t="shared" si="9"/>
        <v>1000</v>
      </c>
    </row>
    <row r="74" spans="1:8" s="26" customFormat="1" ht="12" x14ac:dyDescent="0.2">
      <c r="A74" s="35" t="s">
        <v>197</v>
      </c>
      <c r="B74" s="44" t="s">
        <v>242</v>
      </c>
      <c r="C74" s="36" t="s">
        <v>173</v>
      </c>
      <c r="D74" s="36" t="s">
        <v>216</v>
      </c>
      <c r="E74" s="48">
        <v>240</v>
      </c>
      <c r="F74" s="115">
        <v>0</v>
      </c>
      <c r="G74" s="98">
        <v>1000</v>
      </c>
      <c r="H74" s="98">
        <v>1000</v>
      </c>
    </row>
    <row r="75" spans="1:8" s="26" customFormat="1" ht="27" x14ac:dyDescent="0.2">
      <c r="A75" s="80" t="s">
        <v>330</v>
      </c>
      <c r="B75" s="199" t="s">
        <v>331</v>
      </c>
      <c r="C75" s="79"/>
      <c r="D75" s="79"/>
      <c r="E75" s="79"/>
      <c r="F75" s="78">
        <f>F76</f>
        <v>1500</v>
      </c>
      <c r="G75" s="78">
        <f>G76</f>
        <v>1500</v>
      </c>
      <c r="H75" s="78">
        <f t="shared" ref="G75:H79" si="10">H76</f>
        <v>1500</v>
      </c>
    </row>
    <row r="76" spans="1:8" s="26" customFormat="1" ht="24" x14ac:dyDescent="0.2">
      <c r="A76" s="50" t="s">
        <v>332</v>
      </c>
      <c r="B76" s="51" t="s">
        <v>780</v>
      </c>
      <c r="C76" s="30"/>
      <c r="D76" s="30"/>
      <c r="E76" s="30"/>
      <c r="F76" s="31">
        <f>F77</f>
        <v>1500</v>
      </c>
      <c r="G76" s="31">
        <f t="shared" si="10"/>
        <v>1500</v>
      </c>
      <c r="H76" s="31">
        <f t="shared" si="10"/>
        <v>1500</v>
      </c>
    </row>
    <row r="77" spans="1:8" s="26" customFormat="1" ht="12" x14ac:dyDescent="0.2">
      <c r="A77" s="50" t="s">
        <v>321</v>
      </c>
      <c r="B77" s="51" t="s">
        <v>780</v>
      </c>
      <c r="C77" s="30" t="s">
        <v>284</v>
      </c>
      <c r="D77" s="30"/>
      <c r="E77" s="30"/>
      <c r="F77" s="31">
        <f>F78</f>
        <v>1500</v>
      </c>
      <c r="G77" s="31">
        <f t="shared" si="10"/>
        <v>1500</v>
      </c>
      <c r="H77" s="31">
        <f t="shared" si="10"/>
        <v>1500</v>
      </c>
    </row>
    <row r="78" spans="1:8" s="26" customFormat="1" ht="12" x14ac:dyDescent="0.2">
      <c r="A78" s="50" t="s">
        <v>329</v>
      </c>
      <c r="B78" s="51" t="s">
        <v>780</v>
      </c>
      <c r="C78" s="30" t="s">
        <v>284</v>
      </c>
      <c r="D78" s="30" t="s">
        <v>283</v>
      </c>
      <c r="E78" s="30"/>
      <c r="F78" s="31">
        <f>F79</f>
        <v>1500</v>
      </c>
      <c r="G78" s="31">
        <f t="shared" si="10"/>
        <v>1500</v>
      </c>
      <c r="H78" s="31">
        <f t="shared" si="10"/>
        <v>1500</v>
      </c>
    </row>
    <row r="79" spans="1:8" s="26" customFormat="1" ht="12" x14ac:dyDescent="0.2">
      <c r="A79" s="35" t="s">
        <v>325</v>
      </c>
      <c r="B79" s="44" t="s">
        <v>780</v>
      </c>
      <c r="C79" s="36" t="s">
        <v>284</v>
      </c>
      <c r="D79" s="36" t="s">
        <v>283</v>
      </c>
      <c r="E79" s="36" t="s">
        <v>326</v>
      </c>
      <c r="F79" s="37">
        <f>F80</f>
        <v>1500</v>
      </c>
      <c r="G79" s="37">
        <f t="shared" si="10"/>
        <v>1500</v>
      </c>
      <c r="H79" s="37">
        <f t="shared" si="10"/>
        <v>1500</v>
      </c>
    </row>
    <row r="80" spans="1:8" s="26" customFormat="1" ht="12" x14ac:dyDescent="0.2">
      <c r="A80" s="35" t="s">
        <v>738</v>
      </c>
      <c r="B80" s="44" t="s">
        <v>780</v>
      </c>
      <c r="C80" s="36" t="s">
        <v>284</v>
      </c>
      <c r="D80" s="36" t="s">
        <v>283</v>
      </c>
      <c r="E80" s="36" t="s">
        <v>328</v>
      </c>
      <c r="F80" s="98">
        <v>1500</v>
      </c>
      <c r="G80" s="98">
        <v>1500</v>
      </c>
      <c r="H80" s="98">
        <v>1500</v>
      </c>
    </row>
    <row r="81" spans="1:8" s="26" customFormat="1" ht="13.5" x14ac:dyDescent="0.2">
      <c r="A81" s="80" t="s">
        <v>405</v>
      </c>
      <c r="B81" s="79" t="s">
        <v>406</v>
      </c>
      <c r="C81" s="106"/>
      <c r="D81" s="106"/>
      <c r="E81" s="106"/>
      <c r="F81" s="78">
        <f>F82+F95+F118+F163</f>
        <v>928224.18267000001</v>
      </c>
      <c r="G81" s="78">
        <f>G82+G95+G118+G163</f>
        <v>840491.3</v>
      </c>
      <c r="H81" s="78">
        <f>H82+H95+H118+H163</f>
        <v>313688.3</v>
      </c>
    </row>
    <row r="82" spans="1:8" s="26" customFormat="1" ht="12" x14ac:dyDescent="0.2">
      <c r="A82" s="39" t="s">
        <v>407</v>
      </c>
      <c r="B82" s="40" t="s">
        <v>408</v>
      </c>
      <c r="C82" s="40"/>
      <c r="D82" s="40"/>
      <c r="E82" s="40"/>
      <c r="F82" s="41">
        <f>F83+F88</f>
        <v>10126.437</v>
      </c>
      <c r="G82" s="41">
        <f>G83+G88</f>
        <v>10633.8</v>
      </c>
      <c r="H82" s="41">
        <f>H83+H88</f>
        <v>10633.8</v>
      </c>
    </row>
    <row r="83" spans="1:8" s="26" customFormat="1" ht="12" x14ac:dyDescent="0.2">
      <c r="A83" s="29" t="s">
        <v>183</v>
      </c>
      <c r="B83" s="30" t="s">
        <v>409</v>
      </c>
      <c r="C83" s="30"/>
      <c r="D83" s="30"/>
      <c r="E83" s="30"/>
      <c r="F83" s="31">
        <f>F84</f>
        <v>9223.7829999999994</v>
      </c>
      <c r="G83" s="31">
        <f t="shared" ref="G83:H86" si="11">G84</f>
        <v>8407.7999999999993</v>
      </c>
      <c r="H83" s="31">
        <f t="shared" si="11"/>
        <v>8407.7999999999993</v>
      </c>
    </row>
    <row r="84" spans="1:8" s="26" customFormat="1" ht="12" x14ac:dyDescent="0.2">
      <c r="A84" s="29" t="s">
        <v>781</v>
      </c>
      <c r="B84" s="30" t="s">
        <v>409</v>
      </c>
      <c r="C84" s="30" t="s">
        <v>177</v>
      </c>
      <c r="D84" s="30"/>
      <c r="E84" s="30"/>
      <c r="F84" s="31">
        <f>F85</f>
        <v>9223.7829999999994</v>
      </c>
      <c r="G84" s="31">
        <f t="shared" si="11"/>
        <v>8407.7999999999993</v>
      </c>
      <c r="H84" s="31">
        <f t="shared" si="11"/>
        <v>8407.7999999999993</v>
      </c>
    </row>
    <row r="85" spans="1:8" s="26" customFormat="1" ht="12" x14ac:dyDescent="0.2">
      <c r="A85" s="29" t="s">
        <v>782</v>
      </c>
      <c r="B85" s="30" t="s">
        <v>409</v>
      </c>
      <c r="C85" s="30" t="s">
        <v>177</v>
      </c>
      <c r="D85" s="30" t="s">
        <v>404</v>
      </c>
      <c r="E85" s="30"/>
      <c r="F85" s="31">
        <f>F86</f>
        <v>9223.7829999999994</v>
      </c>
      <c r="G85" s="31">
        <f t="shared" si="11"/>
        <v>8407.7999999999993</v>
      </c>
      <c r="H85" s="31">
        <f t="shared" si="11"/>
        <v>8407.7999999999993</v>
      </c>
    </row>
    <row r="86" spans="1:8" s="26" customFormat="1" ht="36" x14ac:dyDescent="0.2">
      <c r="A86" s="73" t="s">
        <v>185</v>
      </c>
      <c r="B86" s="36" t="s">
        <v>409</v>
      </c>
      <c r="C86" s="36" t="s">
        <v>177</v>
      </c>
      <c r="D86" s="36" t="s">
        <v>404</v>
      </c>
      <c r="E86" s="36" t="s">
        <v>186</v>
      </c>
      <c r="F86" s="37">
        <f>F87</f>
        <v>9223.7829999999994</v>
      </c>
      <c r="G86" s="37">
        <f t="shared" si="11"/>
        <v>8407.7999999999993</v>
      </c>
      <c r="H86" s="37">
        <f t="shared" si="11"/>
        <v>8407.7999999999993</v>
      </c>
    </row>
    <row r="87" spans="1:8" s="26" customFormat="1" ht="12" x14ac:dyDescent="0.2">
      <c r="A87" s="73" t="s">
        <v>187</v>
      </c>
      <c r="B87" s="36" t="s">
        <v>409</v>
      </c>
      <c r="C87" s="36" t="s">
        <v>177</v>
      </c>
      <c r="D87" s="36" t="s">
        <v>404</v>
      </c>
      <c r="E87" s="36" t="s">
        <v>188</v>
      </c>
      <c r="F87" s="98">
        <f>6303.4+62+1922.4+120+815.983</f>
        <v>9223.7829999999994</v>
      </c>
      <c r="G87" s="98">
        <f>6303.4+62+1922.4+120</f>
        <v>8407.7999999999993</v>
      </c>
      <c r="H87" s="98">
        <f>6303.4+62+1922.4+120</f>
        <v>8407.7999999999993</v>
      </c>
    </row>
    <row r="88" spans="1:8" s="26" customFormat="1" ht="12" x14ac:dyDescent="0.2">
      <c r="A88" s="75" t="s">
        <v>193</v>
      </c>
      <c r="B88" s="30" t="s">
        <v>410</v>
      </c>
      <c r="C88" s="30"/>
      <c r="D88" s="30"/>
      <c r="E88" s="30"/>
      <c r="F88" s="31">
        <f t="shared" ref="F88:H89" si="12">F89</f>
        <v>902.654</v>
      </c>
      <c r="G88" s="31">
        <f t="shared" si="12"/>
        <v>2226</v>
      </c>
      <c r="H88" s="31">
        <f t="shared" si="12"/>
        <v>2226</v>
      </c>
    </row>
    <row r="89" spans="1:8" s="26" customFormat="1" ht="12" x14ac:dyDescent="0.2">
      <c r="A89" s="75" t="s">
        <v>781</v>
      </c>
      <c r="B89" s="30" t="s">
        <v>410</v>
      </c>
      <c r="C89" s="30" t="s">
        <v>177</v>
      </c>
      <c r="D89" s="30"/>
      <c r="E89" s="30"/>
      <c r="F89" s="31">
        <f t="shared" si="12"/>
        <v>902.654</v>
      </c>
      <c r="G89" s="31">
        <f t="shared" si="12"/>
        <v>2226</v>
      </c>
      <c r="H89" s="31">
        <f t="shared" si="12"/>
        <v>2226</v>
      </c>
    </row>
    <row r="90" spans="1:8" s="26" customFormat="1" ht="12" x14ac:dyDescent="0.2">
      <c r="A90" s="75" t="s">
        <v>782</v>
      </c>
      <c r="B90" s="30" t="s">
        <v>410</v>
      </c>
      <c r="C90" s="30" t="s">
        <v>177</v>
      </c>
      <c r="D90" s="30" t="s">
        <v>404</v>
      </c>
      <c r="E90" s="30"/>
      <c r="F90" s="31">
        <f>F91+F93</f>
        <v>902.654</v>
      </c>
      <c r="G90" s="31">
        <f>G91+G93</f>
        <v>2226</v>
      </c>
      <c r="H90" s="31">
        <f>H91+H93</f>
        <v>2226</v>
      </c>
    </row>
    <row r="91" spans="1:8" s="26" customFormat="1" ht="12" x14ac:dyDescent="0.2">
      <c r="A91" s="73" t="s">
        <v>195</v>
      </c>
      <c r="B91" s="36" t="s">
        <v>410</v>
      </c>
      <c r="C91" s="36" t="s">
        <v>177</v>
      </c>
      <c r="D91" s="36" t="s">
        <v>404</v>
      </c>
      <c r="E91" s="36" t="s">
        <v>196</v>
      </c>
      <c r="F91" s="37">
        <f>F92</f>
        <v>260</v>
      </c>
      <c r="G91" s="37">
        <f>G92</f>
        <v>260</v>
      </c>
      <c r="H91" s="37">
        <f>H92</f>
        <v>260</v>
      </c>
    </row>
    <row r="92" spans="1:8" s="26" customFormat="1" ht="12" x14ac:dyDescent="0.2">
      <c r="A92" s="73" t="s">
        <v>197</v>
      </c>
      <c r="B92" s="36" t="s">
        <v>410</v>
      </c>
      <c r="C92" s="36" t="s">
        <v>177</v>
      </c>
      <c r="D92" s="36" t="s">
        <v>404</v>
      </c>
      <c r="E92" s="36" t="s">
        <v>198</v>
      </c>
      <c r="F92" s="98">
        <v>260</v>
      </c>
      <c r="G92" s="98">
        <v>260</v>
      </c>
      <c r="H92" s="98">
        <v>260</v>
      </c>
    </row>
    <row r="93" spans="1:8" s="26" customFormat="1" ht="12" x14ac:dyDescent="0.2">
      <c r="A93" s="73" t="s">
        <v>199</v>
      </c>
      <c r="B93" s="36" t="s">
        <v>410</v>
      </c>
      <c r="C93" s="36" t="s">
        <v>177</v>
      </c>
      <c r="D93" s="36" t="s">
        <v>404</v>
      </c>
      <c r="E93" s="36" t="s">
        <v>200</v>
      </c>
      <c r="F93" s="37">
        <f>F94</f>
        <v>642.654</v>
      </c>
      <c r="G93" s="37">
        <f t="shared" ref="G93:H93" si="13">G94</f>
        <v>1966</v>
      </c>
      <c r="H93" s="37">
        <f t="shared" si="13"/>
        <v>1966</v>
      </c>
    </row>
    <row r="94" spans="1:8" s="26" customFormat="1" ht="12" x14ac:dyDescent="0.2">
      <c r="A94" s="73" t="s">
        <v>201</v>
      </c>
      <c r="B94" s="36" t="s">
        <v>410</v>
      </c>
      <c r="C94" s="36" t="s">
        <v>177</v>
      </c>
      <c r="D94" s="36" t="s">
        <v>404</v>
      </c>
      <c r="E94" s="36" t="s">
        <v>202</v>
      </c>
      <c r="F94" s="98">
        <f>880-237.346</f>
        <v>642.654</v>
      </c>
      <c r="G94" s="98">
        <v>1966</v>
      </c>
      <c r="H94" s="98">
        <v>1966</v>
      </c>
    </row>
    <row r="95" spans="1:8" s="26" customFormat="1" ht="12" x14ac:dyDescent="0.2">
      <c r="A95" s="146" t="s">
        <v>497</v>
      </c>
      <c r="B95" s="147" t="s">
        <v>498</v>
      </c>
      <c r="C95" s="40"/>
      <c r="D95" s="40"/>
      <c r="E95" s="40"/>
      <c r="F95" s="41">
        <f>F96+F101+F108+F113</f>
        <v>107180.24400000001</v>
      </c>
      <c r="G95" s="41">
        <f>G96+G101+G108+G113</f>
        <v>86000</v>
      </c>
      <c r="H95" s="41">
        <f>H96+H101+H108+H113</f>
        <v>76000</v>
      </c>
    </row>
    <row r="96" spans="1:8" s="26" customFormat="1" ht="12" x14ac:dyDescent="0.2">
      <c r="A96" s="75" t="s">
        <v>499</v>
      </c>
      <c r="B96" s="149" t="s">
        <v>783</v>
      </c>
      <c r="C96" s="30"/>
      <c r="D96" s="30"/>
      <c r="E96" s="30"/>
      <c r="F96" s="31">
        <f>F97</f>
        <v>12123.244000000001</v>
      </c>
      <c r="G96" s="31">
        <f t="shared" ref="G96:H99" si="14">G97</f>
        <v>10943</v>
      </c>
      <c r="H96" s="31">
        <f t="shared" si="14"/>
        <v>10943</v>
      </c>
    </row>
    <row r="97" spans="1:8" s="26" customFormat="1" ht="12" x14ac:dyDescent="0.2">
      <c r="A97" s="75" t="s">
        <v>290</v>
      </c>
      <c r="B97" s="30" t="s">
        <v>501</v>
      </c>
      <c r="C97" s="30" t="s">
        <v>177</v>
      </c>
      <c r="D97" s="30"/>
      <c r="E97" s="30"/>
      <c r="F97" s="31">
        <f>F98</f>
        <v>12123.244000000001</v>
      </c>
      <c r="G97" s="31">
        <f t="shared" si="14"/>
        <v>10943</v>
      </c>
      <c r="H97" s="31">
        <f t="shared" si="14"/>
        <v>10943</v>
      </c>
    </row>
    <row r="98" spans="1:8" s="26" customFormat="1" ht="12" x14ac:dyDescent="0.2">
      <c r="A98" s="75" t="s">
        <v>403</v>
      </c>
      <c r="B98" s="30" t="s">
        <v>501</v>
      </c>
      <c r="C98" s="30" t="s">
        <v>177</v>
      </c>
      <c r="D98" s="30" t="s">
        <v>404</v>
      </c>
      <c r="E98" s="30"/>
      <c r="F98" s="31">
        <f>F99</f>
        <v>12123.244000000001</v>
      </c>
      <c r="G98" s="31">
        <f t="shared" si="14"/>
        <v>10943</v>
      </c>
      <c r="H98" s="31">
        <f t="shared" si="14"/>
        <v>10943</v>
      </c>
    </row>
    <row r="99" spans="1:8" s="26" customFormat="1" ht="36" x14ac:dyDescent="0.2">
      <c r="A99" s="73" t="s">
        <v>185</v>
      </c>
      <c r="B99" s="36" t="s">
        <v>501</v>
      </c>
      <c r="C99" s="36" t="s">
        <v>177</v>
      </c>
      <c r="D99" s="36" t="s">
        <v>404</v>
      </c>
      <c r="E99" s="36" t="s">
        <v>186</v>
      </c>
      <c r="F99" s="37">
        <f>F100</f>
        <v>12123.244000000001</v>
      </c>
      <c r="G99" s="37">
        <f t="shared" si="14"/>
        <v>10943</v>
      </c>
      <c r="H99" s="37">
        <f t="shared" si="14"/>
        <v>10943</v>
      </c>
    </row>
    <row r="100" spans="1:8" s="26" customFormat="1" ht="12" x14ac:dyDescent="0.2">
      <c r="A100" s="73" t="s">
        <v>187</v>
      </c>
      <c r="B100" s="36" t="s">
        <v>501</v>
      </c>
      <c r="C100" s="36" t="s">
        <v>177</v>
      </c>
      <c r="D100" s="36" t="s">
        <v>404</v>
      </c>
      <c r="E100" s="36" t="s">
        <v>188</v>
      </c>
      <c r="F100" s="98">
        <f>10943+1180.244</f>
        <v>12123.244000000001</v>
      </c>
      <c r="G100" s="98">
        <v>10943</v>
      </c>
      <c r="H100" s="98">
        <v>10943</v>
      </c>
    </row>
    <row r="101" spans="1:8" s="26" customFormat="1" ht="12" x14ac:dyDescent="0.2">
      <c r="A101" s="75" t="s">
        <v>193</v>
      </c>
      <c r="B101" s="30" t="s">
        <v>502</v>
      </c>
      <c r="C101" s="30"/>
      <c r="D101" s="30"/>
      <c r="E101" s="30"/>
      <c r="F101" s="31">
        <f t="shared" ref="F101:H102" si="15">F102</f>
        <v>2057</v>
      </c>
      <c r="G101" s="31">
        <f t="shared" si="15"/>
        <v>2057</v>
      </c>
      <c r="H101" s="31">
        <f t="shared" si="15"/>
        <v>2057</v>
      </c>
    </row>
    <row r="102" spans="1:8" s="26" customFormat="1" ht="12" x14ac:dyDescent="0.2">
      <c r="A102" s="75" t="s">
        <v>290</v>
      </c>
      <c r="B102" s="30" t="s">
        <v>502</v>
      </c>
      <c r="C102" s="30" t="s">
        <v>177</v>
      </c>
      <c r="D102" s="30"/>
      <c r="E102" s="30"/>
      <c r="F102" s="31">
        <f t="shared" si="15"/>
        <v>2057</v>
      </c>
      <c r="G102" s="31">
        <f t="shared" si="15"/>
        <v>2057</v>
      </c>
      <c r="H102" s="31">
        <f t="shared" si="15"/>
        <v>2057</v>
      </c>
    </row>
    <row r="103" spans="1:8" s="26" customFormat="1" ht="12" x14ac:dyDescent="0.2">
      <c r="A103" s="75" t="s">
        <v>403</v>
      </c>
      <c r="B103" s="30" t="s">
        <v>502</v>
      </c>
      <c r="C103" s="30" t="s">
        <v>177</v>
      </c>
      <c r="D103" s="30" t="s">
        <v>404</v>
      </c>
      <c r="E103" s="30"/>
      <c r="F103" s="31">
        <f>F104+F106</f>
        <v>2057</v>
      </c>
      <c r="G103" s="31">
        <f>G104+G106</f>
        <v>2057</v>
      </c>
      <c r="H103" s="31">
        <f>H104+H106</f>
        <v>2057</v>
      </c>
    </row>
    <row r="104" spans="1:8" s="26" customFormat="1" ht="12" x14ac:dyDescent="0.2">
      <c r="A104" s="73" t="s">
        <v>195</v>
      </c>
      <c r="B104" s="36" t="s">
        <v>502</v>
      </c>
      <c r="C104" s="36" t="s">
        <v>177</v>
      </c>
      <c r="D104" s="36" t="s">
        <v>404</v>
      </c>
      <c r="E104" s="36" t="s">
        <v>196</v>
      </c>
      <c r="F104" s="37">
        <f>F105</f>
        <v>2037</v>
      </c>
      <c r="G104" s="37">
        <f>G105</f>
        <v>2037</v>
      </c>
      <c r="H104" s="37">
        <f>H105</f>
        <v>2037</v>
      </c>
    </row>
    <row r="105" spans="1:8" s="26" customFormat="1" ht="12" x14ac:dyDescent="0.2">
      <c r="A105" s="73" t="s">
        <v>197</v>
      </c>
      <c r="B105" s="36" t="s">
        <v>502</v>
      </c>
      <c r="C105" s="36" t="s">
        <v>177</v>
      </c>
      <c r="D105" s="36" t="s">
        <v>404</v>
      </c>
      <c r="E105" s="36" t="s">
        <v>198</v>
      </c>
      <c r="F105" s="98">
        <v>2037</v>
      </c>
      <c r="G105" s="98">
        <v>2037</v>
      </c>
      <c r="H105" s="98">
        <v>2037</v>
      </c>
    </row>
    <row r="106" spans="1:8" s="26" customFormat="1" ht="12" x14ac:dyDescent="0.2">
      <c r="A106" s="73" t="s">
        <v>199</v>
      </c>
      <c r="B106" s="36" t="s">
        <v>502</v>
      </c>
      <c r="C106" s="36" t="s">
        <v>177</v>
      </c>
      <c r="D106" s="36" t="s">
        <v>404</v>
      </c>
      <c r="E106" s="36" t="s">
        <v>200</v>
      </c>
      <c r="F106" s="37">
        <f>F107</f>
        <v>20</v>
      </c>
      <c r="G106" s="37">
        <f t="shared" ref="G106:H106" si="16">G107</f>
        <v>20</v>
      </c>
      <c r="H106" s="37">
        <f t="shared" si="16"/>
        <v>20</v>
      </c>
    </row>
    <row r="107" spans="1:8" s="26" customFormat="1" ht="12" x14ac:dyDescent="0.2">
      <c r="A107" s="73" t="s">
        <v>201</v>
      </c>
      <c r="B107" s="36" t="s">
        <v>502</v>
      </c>
      <c r="C107" s="36" t="s">
        <v>177</v>
      </c>
      <c r="D107" s="36" t="s">
        <v>404</v>
      </c>
      <c r="E107" s="36" t="s">
        <v>202</v>
      </c>
      <c r="F107" s="98">
        <v>20</v>
      </c>
      <c r="G107" s="98">
        <v>20</v>
      </c>
      <c r="H107" s="98">
        <v>20</v>
      </c>
    </row>
    <row r="108" spans="1:8" s="26" customFormat="1" ht="24" x14ac:dyDescent="0.2">
      <c r="A108" s="42" t="s">
        <v>503</v>
      </c>
      <c r="B108" s="43" t="s">
        <v>504</v>
      </c>
      <c r="C108" s="40"/>
      <c r="D108" s="40"/>
      <c r="E108" s="40"/>
      <c r="F108" s="41">
        <f>F109</f>
        <v>93000</v>
      </c>
      <c r="G108" s="41">
        <f t="shared" ref="G108:H111" si="17">G109</f>
        <v>73000</v>
      </c>
      <c r="H108" s="41">
        <f t="shared" si="17"/>
        <v>63000</v>
      </c>
    </row>
    <row r="109" spans="1:8" s="26" customFormat="1" ht="12" x14ac:dyDescent="0.2">
      <c r="A109" s="29" t="s">
        <v>290</v>
      </c>
      <c r="B109" s="51" t="s">
        <v>504</v>
      </c>
      <c r="C109" s="30" t="s">
        <v>177</v>
      </c>
      <c r="D109" s="30"/>
      <c r="E109" s="40"/>
      <c r="F109" s="31">
        <f>F110</f>
        <v>93000</v>
      </c>
      <c r="G109" s="31">
        <f t="shared" si="17"/>
        <v>73000</v>
      </c>
      <c r="H109" s="31">
        <f t="shared" si="17"/>
        <v>63000</v>
      </c>
    </row>
    <row r="110" spans="1:8" s="26" customFormat="1" ht="12" x14ac:dyDescent="0.2">
      <c r="A110" s="29" t="s">
        <v>403</v>
      </c>
      <c r="B110" s="51" t="s">
        <v>504</v>
      </c>
      <c r="C110" s="30" t="s">
        <v>177</v>
      </c>
      <c r="D110" s="30" t="s">
        <v>404</v>
      </c>
      <c r="E110" s="40"/>
      <c r="F110" s="31">
        <f>F111</f>
        <v>93000</v>
      </c>
      <c r="G110" s="31">
        <f t="shared" si="17"/>
        <v>73000</v>
      </c>
      <c r="H110" s="31">
        <f t="shared" si="17"/>
        <v>63000</v>
      </c>
    </row>
    <row r="111" spans="1:8" s="26" customFormat="1" ht="12" x14ac:dyDescent="0.2">
      <c r="A111" s="35" t="s">
        <v>199</v>
      </c>
      <c r="B111" s="44" t="s">
        <v>504</v>
      </c>
      <c r="C111" s="36" t="s">
        <v>177</v>
      </c>
      <c r="D111" s="36" t="s">
        <v>404</v>
      </c>
      <c r="E111" s="36" t="s">
        <v>200</v>
      </c>
      <c r="F111" s="37">
        <f>F112</f>
        <v>93000</v>
      </c>
      <c r="G111" s="37">
        <f t="shared" si="17"/>
        <v>73000</v>
      </c>
      <c r="H111" s="37">
        <f t="shared" si="17"/>
        <v>63000</v>
      </c>
    </row>
    <row r="112" spans="1:8" s="26" customFormat="1" ht="24" x14ac:dyDescent="0.2">
      <c r="A112" s="35" t="s">
        <v>297</v>
      </c>
      <c r="B112" s="44" t="s">
        <v>504</v>
      </c>
      <c r="C112" s="36" t="s">
        <v>177</v>
      </c>
      <c r="D112" s="36" t="s">
        <v>404</v>
      </c>
      <c r="E112" s="36" t="s">
        <v>298</v>
      </c>
      <c r="F112" s="98">
        <f>93000+10000-10000</f>
        <v>93000</v>
      </c>
      <c r="G112" s="98">
        <f>93000-20000</f>
        <v>73000</v>
      </c>
      <c r="H112" s="98">
        <f>93000-20000-10000</f>
        <v>63000</v>
      </c>
    </row>
    <row r="113" spans="1:8" s="197" customFormat="1" ht="12" x14ac:dyDescent="0.2">
      <c r="A113" s="29" t="s">
        <v>505</v>
      </c>
      <c r="B113" s="51" t="s">
        <v>506</v>
      </c>
      <c r="C113" s="30"/>
      <c r="D113" s="30"/>
      <c r="E113" s="30"/>
      <c r="F113" s="45">
        <f t="shared" ref="F113:G116" si="18">F114</f>
        <v>0</v>
      </c>
      <c r="G113" s="45">
        <f t="shared" si="18"/>
        <v>0</v>
      </c>
      <c r="H113" s="45">
        <f>H114</f>
        <v>0</v>
      </c>
    </row>
    <row r="114" spans="1:8" s="128" customFormat="1" ht="12" x14ac:dyDescent="0.2">
      <c r="A114" s="29" t="s">
        <v>290</v>
      </c>
      <c r="B114" s="51" t="s">
        <v>506</v>
      </c>
      <c r="C114" s="30" t="s">
        <v>177</v>
      </c>
      <c r="D114" s="30"/>
      <c r="E114" s="30"/>
      <c r="F114" s="45">
        <f t="shared" si="18"/>
        <v>0</v>
      </c>
      <c r="G114" s="45">
        <f t="shared" si="18"/>
        <v>0</v>
      </c>
      <c r="H114" s="45">
        <f>H115</f>
        <v>0</v>
      </c>
    </row>
    <row r="115" spans="1:8" s="128" customFormat="1" ht="12" x14ac:dyDescent="0.2">
      <c r="A115" s="29" t="s">
        <v>403</v>
      </c>
      <c r="B115" s="51" t="s">
        <v>506</v>
      </c>
      <c r="C115" s="30" t="s">
        <v>177</v>
      </c>
      <c r="D115" s="30" t="s">
        <v>404</v>
      </c>
      <c r="E115" s="30"/>
      <c r="F115" s="45">
        <f t="shared" si="18"/>
        <v>0</v>
      </c>
      <c r="G115" s="45">
        <f t="shared" si="18"/>
        <v>0</v>
      </c>
      <c r="H115" s="45">
        <f>H116</f>
        <v>0</v>
      </c>
    </row>
    <row r="116" spans="1:8" s="128" customFormat="1" ht="12" x14ac:dyDescent="0.2">
      <c r="A116" s="35" t="s">
        <v>195</v>
      </c>
      <c r="B116" s="44" t="s">
        <v>506</v>
      </c>
      <c r="C116" s="36" t="s">
        <v>177</v>
      </c>
      <c r="D116" s="36" t="s">
        <v>404</v>
      </c>
      <c r="E116" s="36" t="s">
        <v>196</v>
      </c>
      <c r="F116" s="46">
        <f t="shared" si="18"/>
        <v>0</v>
      </c>
      <c r="G116" s="46">
        <f t="shared" si="18"/>
        <v>0</v>
      </c>
      <c r="H116" s="46">
        <f>H117</f>
        <v>0</v>
      </c>
    </row>
    <row r="117" spans="1:8" s="128" customFormat="1" ht="12" x14ac:dyDescent="0.2">
      <c r="A117" s="35" t="s">
        <v>197</v>
      </c>
      <c r="B117" s="44" t="s">
        <v>506</v>
      </c>
      <c r="C117" s="36" t="s">
        <v>177</v>
      </c>
      <c r="D117" s="36" t="s">
        <v>404</v>
      </c>
      <c r="E117" s="36" t="s">
        <v>198</v>
      </c>
      <c r="F117" s="46">
        <f>7000-7000</f>
        <v>0</v>
      </c>
      <c r="G117" s="46">
        <v>0</v>
      </c>
      <c r="H117" s="46">
        <v>0</v>
      </c>
    </row>
    <row r="118" spans="1:8" s="26" customFormat="1" ht="24" x14ac:dyDescent="0.2">
      <c r="A118" s="42" t="s">
        <v>413</v>
      </c>
      <c r="B118" s="43" t="s">
        <v>414</v>
      </c>
      <c r="C118" s="40"/>
      <c r="D118" s="40"/>
      <c r="E118" s="40"/>
      <c r="F118" s="41">
        <f>F119+F126+F131+F136+F143+F150+F155+F160</f>
        <v>802530.92267</v>
      </c>
      <c r="G118" s="41">
        <f>G119+G126+G131+G136+G143+G150+G155+G160</f>
        <v>735697.5</v>
      </c>
      <c r="H118" s="41">
        <f>H119+H126+H131+H136+H143+H150+H155+H160</f>
        <v>218894.5</v>
      </c>
    </row>
    <row r="119" spans="1:8" s="26" customFormat="1" ht="24" x14ac:dyDescent="0.2">
      <c r="A119" s="29" t="s">
        <v>415</v>
      </c>
      <c r="B119" s="30" t="s">
        <v>416</v>
      </c>
      <c r="C119" s="30"/>
      <c r="D119" s="30"/>
      <c r="E119" s="30"/>
      <c r="F119" s="31">
        <f>F120</f>
        <v>25041.930670000002</v>
      </c>
      <c r="G119" s="31">
        <f t="shared" ref="G119:H122" si="19">G120</f>
        <v>22591</v>
      </c>
      <c r="H119" s="31">
        <f t="shared" si="19"/>
        <v>24077</v>
      </c>
    </row>
    <row r="120" spans="1:8" s="26" customFormat="1" ht="12" x14ac:dyDescent="0.2">
      <c r="A120" s="29" t="s">
        <v>781</v>
      </c>
      <c r="B120" s="30" t="s">
        <v>416</v>
      </c>
      <c r="C120" s="30" t="s">
        <v>177</v>
      </c>
      <c r="D120" s="30"/>
      <c r="E120" s="30"/>
      <c r="F120" s="31">
        <f>F121</f>
        <v>25041.930670000002</v>
      </c>
      <c r="G120" s="31">
        <f t="shared" si="19"/>
        <v>22591</v>
      </c>
      <c r="H120" s="31">
        <f t="shared" si="19"/>
        <v>24077</v>
      </c>
    </row>
    <row r="121" spans="1:8" s="26" customFormat="1" ht="12" x14ac:dyDescent="0.2">
      <c r="A121" s="29" t="s">
        <v>411</v>
      </c>
      <c r="B121" s="30" t="s">
        <v>416</v>
      </c>
      <c r="C121" s="30" t="s">
        <v>177</v>
      </c>
      <c r="D121" s="30" t="s">
        <v>412</v>
      </c>
      <c r="E121" s="30"/>
      <c r="F121" s="31">
        <f>F122+F124</f>
        <v>25041.930670000002</v>
      </c>
      <c r="G121" s="31">
        <f>G122+G124</f>
        <v>22591</v>
      </c>
      <c r="H121" s="31">
        <f>H122+H124</f>
        <v>24077</v>
      </c>
    </row>
    <row r="122" spans="1:8" s="26" customFormat="1" ht="12" x14ac:dyDescent="0.2">
      <c r="A122" s="35" t="s">
        <v>195</v>
      </c>
      <c r="B122" s="36" t="s">
        <v>416</v>
      </c>
      <c r="C122" s="36" t="s">
        <v>177</v>
      </c>
      <c r="D122" s="36" t="s">
        <v>412</v>
      </c>
      <c r="E122" s="36" t="s">
        <v>196</v>
      </c>
      <c r="F122" s="37">
        <f>F123</f>
        <v>24461.930670000002</v>
      </c>
      <c r="G122" s="37">
        <f t="shared" si="19"/>
        <v>22591</v>
      </c>
      <c r="H122" s="37">
        <f t="shared" si="19"/>
        <v>24077</v>
      </c>
    </row>
    <row r="123" spans="1:8" s="26" customFormat="1" ht="12" x14ac:dyDescent="0.2">
      <c r="A123" s="35" t="s">
        <v>197</v>
      </c>
      <c r="B123" s="36" t="s">
        <v>416</v>
      </c>
      <c r="C123" s="36" t="s">
        <v>177</v>
      </c>
      <c r="D123" s="36" t="s">
        <v>412</v>
      </c>
      <c r="E123" s="36" t="s">
        <v>198</v>
      </c>
      <c r="F123" s="98">
        <f>21717+3324.93067-580</f>
        <v>24461.930670000002</v>
      </c>
      <c r="G123" s="98">
        <v>22591</v>
      </c>
      <c r="H123" s="98">
        <v>24077</v>
      </c>
    </row>
    <row r="124" spans="1:8" s="26" customFormat="1" ht="12" x14ac:dyDescent="0.2">
      <c r="A124" s="73" t="s">
        <v>344</v>
      </c>
      <c r="B124" s="36" t="s">
        <v>416</v>
      </c>
      <c r="C124" s="36" t="s">
        <v>177</v>
      </c>
      <c r="D124" s="36" t="s">
        <v>412</v>
      </c>
      <c r="E124" s="12" t="s">
        <v>345</v>
      </c>
      <c r="F124" s="98">
        <f>F125</f>
        <v>580</v>
      </c>
      <c r="G124" s="115">
        <f>G125</f>
        <v>0</v>
      </c>
      <c r="H124" s="115">
        <f>H125</f>
        <v>0</v>
      </c>
    </row>
    <row r="125" spans="1:8" s="26" customFormat="1" ht="12" x14ac:dyDescent="0.2">
      <c r="A125" s="73" t="s">
        <v>346</v>
      </c>
      <c r="B125" s="36" t="s">
        <v>416</v>
      </c>
      <c r="C125" s="36" t="s">
        <v>177</v>
      </c>
      <c r="D125" s="36" t="s">
        <v>412</v>
      </c>
      <c r="E125" s="12" t="s">
        <v>347</v>
      </c>
      <c r="F125" s="98">
        <v>580</v>
      </c>
      <c r="G125" s="115">
        <v>0</v>
      </c>
      <c r="H125" s="115">
        <v>0</v>
      </c>
    </row>
    <row r="126" spans="1:8" s="26" customFormat="1" ht="24" x14ac:dyDescent="0.2">
      <c r="A126" s="29" t="s">
        <v>417</v>
      </c>
      <c r="B126" s="30" t="s">
        <v>418</v>
      </c>
      <c r="C126" s="30"/>
      <c r="D126" s="30"/>
      <c r="E126" s="30"/>
      <c r="F126" s="31">
        <f>F127</f>
        <v>2600</v>
      </c>
      <c r="G126" s="45">
        <f t="shared" ref="G126:H129" si="20">G127</f>
        <v>0</v>
      </c>
      <c r="H126" s="45">
        <f t="shared" si="20"/>
        <v>0</v>
      </c>
    </row>
    <row r="127" spans="1:8" s="26" customFormat="1" ht="12" x14ac:dyDescent="0.2">
      <c r="A127" s="29" t="s">
        <v>290</v>
      </c>
      <c r="B127" s="36" t="s">
        <v>418</v>
      </c>
      <c r="C127" s="30" t="s">
        <v>177</v>
      </c>
      <c r="D127" s="30"/>
      <c r="E127" s="30"/>
      <c r="F127" s="31">
        <f>F128</f>
        <v>2600</v>
      </c>
      <c r="G127" s="45">
        <f t="shared" si="20"/>
        <v>0</v>
      </c>
      <c r="H127" s="45">
        <f t="shared" si="20"/>
        <v>0</v>
      </c>
    </row>
    <row r="128" spans="1:8" s="26" customFormat="1" ht="12" x14ac:dyDescent="0.2">
      <c r="A128" s="29" t="s">
        <v>411</v>
      </c>
      <c r="B128" s="36" t="s">
        <v>418</v>
      </c>
      <c r="C128" s="30" t="s">
        <v>177</v>
      </c>
      <c r="D128" s="30" t="s">
        <v>412</v>
      </c>
      <c r="E128" s="30"/>
      <c r="F128" s="31">
        <f>F129</f>
        <v>2600</v>
      </c>
      <c r="G128" s="45">
        <f t="shared" si="20"/>
        <v>0</v>
      </c>
      <c r="H128" s="45">
        <f t="shared" si="20"/>
        <v>0</v>
      </c>
    </row>
    <row r="129" spans="1:8" s="26" customFormat="1" ht="12" x14ac:dyDescent="0.2">
      <c r="A129" s="35" t="s">
        <v>195</v>
      </c>
      <c r="B129" s="36" t="s">
        <v>418</v>
      </c>
      <c r="C129" s="36" t="s">
        <v>177</v>
      </c>
      <c r="D129" s="36" t="s">
        <v>412</v>
      </c>
      <c r="E129" s="36" t="s">
        <v>196</v>
      </c>
      <c r="F129" s="37">
        <f>F130</f>
        <v>2600</v>
      </c>
      <c r="G129" s="46">
        <f t="shared" si="20"/>
        <v>0</v>
      </c>
      <c r="H129" s="46">
        <f t="shared" si="20"/>
        <v>0</v>
      </c>
    </row>
    <row r="130" spans="1:8" s="26" customFormat="1" ht="12" x14ac:dyDescent="0.2">
      <c r="A130" s="35" t="s">
        <v>197</v>
      </c>
      <c r="B130" s="36" t="s">
        <v>418</v>
      </c>
      <c r="C130" s="36" t="s">
        <v>177</v>
      </c>
      <c r="D130" s="36" t="s">
        <v>412</v>
      </c>
      <c r="E130" s="36" t="s">
        <v>198</v>
      </c>
      <c r="F130" s="98">
        <v>2600</v>
      </c>
      <c r="G130" s="115">
        <v>0</v>
      </c>
      <c r="H130" s="115">
        <v>0</v>
      </c>
    </row>
    <row r="131" spans="1:8" s="26" customFormat="1" ht="12" x14ac:dyDescent="0.2">
      <c r="A131" s="70" t="s">
        <v>419</v>
      </c>
      <c r="B131" s="74" t="s">
        <v>420</v>
      </c>
      <c r="C131" s="30"/>
      <c r="D131" s="30"/>
      <c r="E131" s="30"/>
      <c r="F131" s="31">
        <f>F132</f>
        <v>4000</v>
      </c>
      <c r="G131" s="31">
        <f t="shared" ref="G131:H134" si="21">G132</f>
        <v>4600</v>
      </c>
      <c r="H131" s="31">
        <f t="shared" si="21"/>
        <v>4600</v>
      </c>
    </row>
    <row r="132" spans="1:8" s="26" customFormat="1" ht="12" x14ac:dyDescent="0.2">
      <c r="A132" s="29" t="s">
        <v>290</v>
      </c>
      <c r="B132" s="74" t="s">
        <v>420</v>
      </c>
      <c r="C132" s="30" t="s">
        <v>177</v>
      </c>
      <c r="D132" s="30"/>
      <c r="E132" s="30"/>
      <c r="F132" s="31">
        <f>F133</f>
        <v>4000</v>
      </c>
      <c r="G132" s="31">
        <f t="shared" si="21"/>
        <v>4600</v>
      </c>
      <c r="H132" s="31">
        <f t="shared" si="21"/>
        <v>4600</v>
      </c>
    </row>
    <row r="133" spans="1:8" s="26" customFormat="1" ht="12" x14ac:dyDescent="0.2">
      <c r="A133" s="29" t="s">
        <v>411</v>
      </c>
      <c r="B133" s="74" t="s">
        <v>420</v>
      </c>
      <c r="C133" s="30" t="s">
        <v>177</v>
      </c>
      <c r="D133" s="30" t="s">
        <v>412</v>
      </c>
      <c r="E133" s="30"/>
      <c r="F133" s="31">
        <f>F134</f>
        <v>4000</v>
      </c>
      <c r="G133" s="31">
        <f t="shared" si="21"/>
        <v>4600</v>
      </c>
      <c r="H133" s="31">
        <f t="shared" si="21"/>
        <v>4600</v>
      </c>
    </row>
    <row r="134" spans="1:8" s="26" customFormat="1" ht="12" x14ac:dyDescent="0.2">
      <c r="A134" s="35" t="s">
        <v>195</v>
      </c>
      <c r="B134" s="12" t="s">
        <v>420</v>
      </c>
      <c r="C134" s="36" t="s">
        <v>177</v>
      </c>
      <c r="D134" s="36" t="s">
        <v>412</v>
      </c>
      <c r="E134" s="36" t="s">
        <v>196</v>
      </c>
      <c r="F134" s="37">
        <f>F135</f>
        <v>4000</v>
      </c>
      <c r="G134" s="37">
        <f t="shared" si="21"/>
        <v>4600</v>
      </c>
      <c r="H134" s="37">
        <f t="shared" si="21"/>
        <v>4600</v>
      </c>
    </row>
    <row r="135" spans="1:8" s="26" customFormat="1" ht="12" x14ac:dyDescent="0.2">
      <c r="A135" s="35" t="s">
        <v>197</v>
      </c>
      <c r="B135" s="12" t="s">
        <v>420</v>
      </c>
      <c r="C135" s="36" t="s">
        <v>177</v>
      </c>
      <c r="D135" s="36" t="s">
        <v>412</v>
      </c>
      <c r="E135" s="36" t="s">
        <v>198</v>
      </c>
      <c r="F135" s="98">
        <v>4000</v>
      </c>
      <c r="G135" s="115">
        <f>6600-2000</f>
        <v>4600</v>
      </c>
      <c r="H135" s="115">
        <f>6600-2000</f>
        <v>4600</v>
      </c>
    </row>
    <row r="136" spans="1:8" s="26" customFormat="1" ht="24" x14ac:dyDescent="0.2">
      <c r="A136" s="39" t="s">
        <v>421</v>
      </c>
      <c r="B136" s="40" t="s">
        <v>422</v>
      </c>
      <c r="C136" s="30"/>
      <c r="D136" s="30"/>
      <c r="E136" s="30"/>
      <c r="F136" s="31">
        <f>F137</f>
        <v>176397</v>
      </c>
      <c r="G136" s="31">
        <f t="shared" ref="G136:H137" si="22">G137</f>
        <v>179793.5</v>
      </c>
      <c r="H136" s="31">
        <f t="shared" si="22"/>
        <v>179793.5</v>
      </c>
    </row>
    <row r="137" spans="1:8" s="26" customFormat="1" ht="12" x14ac:dyDescent="0.2">
      <c r="A137" s="29" t="s">
        <v>781</v>
      </c>
      <c r="B137" s="36" t="s">
        <v>422</v>
      </c>
      <c r="C137" s="30" t="s">
        <v>177</v>
      </c>
      <c r="D137" s="30"/>
      <c r="E137" s="30"/>
      <c r="F137" s="31">
        <f>F138</f>
        <v>176397</v>
      </c>
      <c r="G137" s="31">
        <f t="shared" si="22"/>
        <v>179793.5</v>
      </c>
      <c r="H137" s="31">
        <f t="shared" si="22"/>
        <v>179793.5</v>
      </c>
    </row>
    <row r="138" spans="1:8" s="26" customFormat="1" ht="12" x14ac:dyDescent="0.2">
      <c r="A138" s="29" t="s">
        <v>411</v>
      </c>
      <c r="B138" s="36" t="s">
        <v>422</v>
      </c>
      <c r="C138" s="30" t="s">
        <v>177</v>
      </c>
      <c r="D138" s="30" t="s">
        <v>412</v>
      </c>
      <c r="E138" s="30"/>
      <c r="F138" s="31">
        <f>F139+F141</f>
        <v>176397</v>
      </c>
      <c r="G138" s="31">
        <f>G139+G141</f>
        <v>179793.5</v>
      </c>
      <c r="H138" s="31">
        <f>H139+H141</f>
        <v>179793.5</v>
      </c>
    </row>
    <row r="139" spans="1:8" s="26" customFormat="1" ht="12" x14ac:dyDescent="0.2">
      <c r="A139" s="35" t="s">
        <v>195</v>
      </c>
      <c r="B139" s="36" t="s">
        <v>422</v>
      </c>
      <c r="C139" s="36" t="s">
        <v>177</v>
      </c>
      <c r="D139" s="36" t="s">
        <v>412</v>
      </c>
      <c r="E139" s="36" t="s">
        <v>196</v>
      </c>
      <c r="F139" s="37">
        <f>F140</f>
        <v>56421.834999999999</v>
      </c>
      <c r="G139" s="37">
        <f t="shared" ref="G139:H139" si="23">G140</f>
        <v>179793.5</v>
      </c>
      <c r="H139" s="37">
        <f t="shared" si="23"/>
        <v>179793.5</v>
      </c>
    </row>
    <row r="140" spans="1:8" s="27" customFormat="1" ht="12" x14ac:dyDescent="0.2">
      <c r="A140" s="35" t="s">
        <v>197</v>
      </c>
      <c r="B140" s="36" t="s">
        <v>422</v>
      </c>
      <c r="C140" s="36" t="s">
        <v>177</v>
      </c>
      <c r="D140" s="36" t="s">
        <v>412</v>
      </c>
      <c r="E140" s="36" t="s">
        <v>198</v>
      </c>
      <c r="F140" s="98">
        <f>113268.322-56846.487</f>
        <v>56421.834999999999</v>
      </c>
      <c r="G140" s="98">
        <v>179793.5</v>
      </c>
      <c r="H140" s="98">
        <v>179793.5</v>
      </c>
    </row>
    <row r="141" spans="1:8" s="27" customFormat="1" ht="12" x14ac:dyDescent="0.2">
      <c r="A141" s="73" t="s">
        <v>344</v>
      </c>
      <c r="B141" s="36" t="s">
        <v>422</v>
      </c>
      <c r="C141" s="36" t="s">
        <v>177</v>
      </c>
      <c r="D141" s="36" t="s">
        <v>412</v>
      </c>
      <c r="E141" s="12" t="s">
        <v>345</v>
      </c>
      <c r="F141" s="46">
        <f>F142</f>
        <v>119975.16500000001</v>
      </c>
      <c r="G141" s="46">
        <f t="shared" ref="G141:H141" si="24">G142</f>
        <v>0</v>
      </c>
      <c r="H141" s="46">
        <f t="shared" si="24"/>
        <v>0</v>
      </c>
    </row>
    <row r="142" spans="1:8" s="27" customFormat="1" ht="12" x14ac:dyDescent="0.2">
      <c r="A142" s="73" t="s">
        <v>346</v>
      </c>
      <c r="B142" s="36" t="s">
        <v>422</v>
      </c>
      <c r="C142" s="36" t="s">
        <v>177</v>
      </c>
      <c r="D142" s="36" t="s">
        <v>412</v>
      </c>
      <c r="E142" s="12" t="s">
        <v>347</v>
      </c>
      <c r="F142" s="98">
        <f>63128.678+56846.487</f>
        <v>119975.16500000001</v>
      </c>
      <c r="G142" s="115">
        <v>0</v>
      </c>
      <c r="H142" s="115">
        <v>0</v>
      </c>
    </row>
    <row r="143" spans="1:8" s="27" customFormat="1" ht="24" x14ac:dyDescent="0.2">
      <c r="A143" s="39" t="s">
        <v>423</v>
      </c>
      <c r="B143" s="40" t="s">
        <v>424</v>
      </c>
      <c r="C143" s="30"/>
      <c r="D143" s="30"/>
      <c r="E143" s="30"/>
      <c r="F143" s="31">
        <f>F144</f>
        <v>10423.999999999998</v>
      </c>
      <c r="G143" s="31">
        <f t="shared" ref="G143:H144" si="25">G144</f>
        <v>10424</v>
      </c>
      <c r="H143" s="31">
        <f t="shared" si="25"/>
        <v>10424</v>
      </c>
    </row>
    <row r="144" spans="1:8" s="27" customFormat="1" ht="12" x14ac:dyDescent="0.2">
      <c r="A144" s="29" t="s">
        <v>781</v>
      </c>
      <c r="B144" s="30" t="s">
        <v>424</v>
      </c>
      <c r="C144" s="30" t="s">
        <v>177</v>
      </c>
      <c r="D144" s="30"/>
      <c r="E144" s="30"/>
      <c r="F144" s="31">
        <f>F145</f>
        <v>10423.999999999998</v>
      </c>
      <c r="G144" s="31">
        <f t="shared" si="25"/>
        <v>10424</v>
      </c>
      <c r="H144" s="31">
        <f t="shared" si="25"/>
        <v>10424</v>
      </c>
    </row>
    <row r="145" spans="1:8" s="27" customFormat="1" ht="12" x14ac:dyDescent="0.2">
      <c r="A145" s="29" t="s">
        <v>411</v>
      </c>
      <c r="B145" s="30" t="s">
        <v>424</v>
      </c>
      <c r="C145" s="30" t="s">
        <v>177</v>
      </c>
      <c r="D145" s="30" t="s">
        <v>412</v>
      </c>
      <c r="E145" s="30"/>
      <c r="F145" s="31">
        <f>F146+F148</f>
        <v>10423.999999999998</v>
      </c>
      <c r="G145" s="31">
        <f>G146+G148</f>
        <v>10424</v>
      </c>
      <c r="H145" s="31">
        <f>H146+H148</f>
        <v>10424</v>
      </c>
    </row>
    <row r="146" spans="1:8" s="27" customFormat="1" ht="12" x14ac:dyDescent="0.2">
      <c r="A146" s="35" t="s">
        <v>195</v>
      </c>
      <c r="B146" s="36" t="s">
        <v>424</v>
      </c>
      <c r="C146" s="36" t="s">
        <v>177</v>
      </c>
      <c r="D146" s="36" t="s">
        <v>412</v>
      </c>
      <c r="E146" s="36" t="s">
        <v>196</v>
      </c>
      <c r="F146" s="37">
        <f>F147</f>
        <v>4109.5550000000003</v>
      </c>
      <c r="G146" s="37">
        <f t="shared" ref="G146:H146" si="26">G147</f>
        <v>10424</v>
      </c>
      <c r="H146" s="37">
        <f t="shared" si="26"/>
        <v>10424</v>
      </c>
    </row>
    <row r="147" spans="1:8" s="27" customFormat="1" ht="12" x14ac:dyDescent="0.2">
      <c r="A147" s="35" t="s">
        <v>197</v>
      </c>
      <c r="B147" s="36" t="s">
        <v>424</v>
      </c>
      <c r="C147" s="36" t="s">
        <v>177</v>
      </c>
      <c r="D147" s="36" t="s">
        <v>412</v>
      </c>
      <c r="E147" s="36" t="s">
        <v>198</v>
      </c>
      <c r="F147" s="98">
        <f>7101.438-2991.883</f>
        <v>4109.5550000000003</v>
      </c>
      <c r="G147" s="98">
        <v>10424</v>
      </c>
      <c r="H147" s="98">
        <v>10424</v>
      </c>
    </row>
    <row r="148" spans="1:8" s="27" customFormat="1" ht="12" x14ac:dyDescent="0.2">
      <c r="A148" s="73" t="s">
        <v>344</v>
      </c>
      <c r="B148" s="36" t="s">
        <v>424</v>
      </c>
      <c r="C148" s="36" t="s">
        <v>177</v>
      </c>
      <c r="D148" s="36" t="s">
        <v>412</v>
      </c>
      <c r="E148" s="12" t="s">
        <v>345</v>
      </c>
      <c r="F148" s="46">
        <f>F149</f>
        <v>6314.4449999999979</v>
      </c>
      <c r="G148" s="46">
        <f t="shared" ref="G148:H148" si="27">G149</f>
        <v>0</v>
      </c>
      <c r="H148" s="46">
        <f t="shared" si="27"/>
        <v>0</v>
      </c>
    </row>
    <row r="149" spans="1:8" s="27" customFormat="1" ht="12" x14ac:dyDescent="0.2">
      <c r="A149" s="73" t="s">
        <v>346</v>
      </c>
      <c r="B149" s="36" t="s">
        <v>424</v>
      </c>
      <c r="C149" s="36" t="s">
        <v>177</v>
      </c>
      <c r="D149" s="36" t="s">
        <v>412</v>
      </c>
      <c r="E149" s="12" t="s">
        <v>347</v>
      </c>
      <c r="F149" s="98">
        <f>3322.562+30000-30000+2991.883</f>
        <v>6314.4449999999979</v>
      </c>
      <c r="G149" s="115">
        <v>0</v>
      </c>
      <c r="H149" s="115">
        <v>0</v>
      </c>
    </row>
    <row r="150" spans="1:8" s="27" customFormat="1" ht="24" x14ac:dyDescent="0.2">
      <c r="A150" s="29" t="s">
        <v>425</v>
      </c>
      <c r="B150" s="30" t="s">
        <v>427</v>
      </c>
      <c r="C150" s="40"/>
      <c r="D150" s="40"/>
      <c r="E150" s="40"/>
      <c r="F150" s="31">
        <f>F151</f>
        <v>575606</v>
      </c>
      <c r="G150" s="31">
        <f t="shared" ref="G150:H153" si="28">G151</f>
        <v>518289</v>
      </c>
      <c r="H150" s="45">
        <f t="shared" si="28"/>
        <v>0</v>
      </c>
    </row>
    <row r="151" spans="1:8" s="27" customFormat="1" ht="12" x14ac:dyDescent="0.2">
      <c r="A151" s="29" t="s">
        <v>781</v>
      </c>
      <c r="B151" s="30" t="s">
        <v>427</v>
      </c>
      <c r="C151" s="30" t="s">
        <v>177</v>
      </c>
      <c r="D151" s="30"/>
      <c r="E151" s="30"/>
      <c r="F151" s="31">
        <f>F152</f>
        <v>575606</v>
      </c>
      <c r="G151" s="31">
        <f t="shared" si="28"/>
        <v>518289</v>
      </c>
      <c r="H151" s="45">
        <f t="shared" si="28"/>
        <v>0</v>
      </c>
    </row>
    <row r="152" spans="1:8" s="27" customFormat="1" ht="12" x14ac:dyDescent="0.2">
      <c r="A152" s="29" t="s">
        <v>411</v>
      </c>
      <c r="B152" s="30" t="s">
        <v>427</v>
      </c>
      <c r="C152" s="30" t="s">
        <v>177</v>
      </c>
      <c r="D152" s="30" t="s">
        <v>412</v>
      </c>
      <c r="E152" s="30"/>
      <c r="F152" s="31">
        <f>F153</f>
        <v>575606</v>
      </c>
      <c r="G152" s="31">
        <f t="shared" si="28"/>
        <v>518289</v>
      </c>
      <c r="H152" s="45">
        <f t="shared" si="28"/>
        <v>0</v>
      </c>
    </row>
    <row r="153" spans="1:8" s="128" customFormat="1" ht="12" x14ac:dyDescent="0.2">
      <c r="A153" s="35" t="s">
        <v>195</v>
      </c>
      <c r="B153" s="36" t="s">
        <v>427</v>
      </c>
      <c r="C153" s="36" t="s">
        <v>177</v>
      </c>
      <c r="D153" s="36" t="s">
        <v>412</v>
      </c>
      <c r="E153" s="36" t="s">
        <v>196</v>
      </c>
      <c r="F153" s="37">
        <f>F154</f>
        <v>575606</v>
      </c>
      <c r="G153" s="37">
        <f t="shared" si="28"/>
        <v>518289</v>
      </c>
      <c r="H153" s="46">
        <f t="shared" si="28"/>
        <v>0</v>
      </c>
    </row>
    <row r="154" spans="1:8" s="128" customFormat="1" ht="12" x14ac:dyDescent="0.2">
      <c r="A154" s="35" t="s">
        <v>197</v>
      </c>
      <c r="B154" s="36" t="s">
        <v>427</v>
      </c>
      <c r="C154" s="36" t="s">
        <v>177</v>
      </c>
      <c r="D154" s="36" t="s">
        <v>412</v>
      </c>
      <c r="E154" s="36" t="s">
        <v>198</v>
      </c>
      <c r="F154" s="98">
        <v>575606</v>
      </c>
      <c r="G154" s="98">
        <v>518289</v>
      </c>
      <c r="H154" s="115">
        <v>0</v>
      </c>
    </row>
    <row r="155" spans="1:8" s="27" customFormat="1" ht="24" x14ac:dyDescent="0.2">
      <c r="A155" s="75" t="s">
        <v>428</v>
      </c>
      <c r="B155" s="74" t="s">
        <v>429</v>
      </c>
      <c r="C155" s="74"/>
      <c r="D155" s="74"/>
      <c r="E155" s="74"/>
      <c r="F155" s="127">
        <f t="shared" ref="F155:G158" si="29">F156</f>
        <v>3961.9919999999984</v>
      </c>
      <c r="G155" s="127">
        <f t="shared" si="29"/>
        <v>0</v>
      </c>
      <c r="H155" s="127">
        <f>H156</f>
        <v>0</v>
      </c>
    </row>
    <row r="156" spans="1:8" s="27" customFormat="1" ht="12" x14ac:dyDescent="0.2">
      <c r="A156" s="29" t="s">
        <v>781</v>
      </c>
      <c r="B156" s="74" t="s">
        <v>429</v>
      </c>
      <c r="C156" s="30" t="s">
        <v>177</v>
      </c>
      <c r="D156" s="30"/>
      <c r="E156" s="74"/>
      <c r="F156" s="127">
        <f t="shared" si="29"/>
        <v>3961.9919999999984</v>
      </c>
      <c r="G156" s="127">
        <f t="shared" si="29"/>
        <v>0</v>
      </c>
      <c r="H156" s="127">
        <f>H157</f>
        <v>0</v>
      </c>
    </row>
    <row r="157" spans="1:8" s="27" customFormat="1" ht="12" x14ac:dyDescent="0.2">
      <c r="A157" s="29" t="s">
        <v>411</v>
      </c>
      <c r="B157" s="74" t="s">
        <v>429</v>
      </c>
      <c r="C157" s="30" t="s">
        <v>177</v>
      </c>
      <c r="D157" s="30" t="s">
        <v>412</v>
      </c>
      <c r="E157" s="74"/>
      <c r="F157" s="127">
        <f t="shared" si="29"/>
        <v>3961.9919999999984</v>
      </c>
      <c r="G157" s="127">
        <f t="shared" si="29"/>
        <v>0</v>
      </c>
      <c r="H157" s="127">
        <f>H158</f>
        <v>0</v>
      </c>
    </row>
    <row r="158" spans="1:8" s="27" customFormat="1" ht="12" x14ac:dyDescent="0.2">
      <c r="A158" s="73" t="s">
        <v>195</v>
      </c>
      <c r="B158" s="12" t="s">
        <v>429</v>
      </c>
      <c r="C158" s="36" t="s">
        <v>177</v>
      </c>
      <c r="D158" s="36" t="s">
        <v>412</v>
      </c>
      <c r="E158" s="12" t="s">
        <v>196</v>
      </c>
      <c r="F158" s="115">
        <f t="shared" si="29"/>
        <v>3961.9919999999984</v>
      </c>
      <c r="G158" s="115">
        <f t="shared" si="29"/>
        <v>0</v>
      </c>
      <c r="H158" s="115">
        <f>H159</f>
        <v>0</v>
      </c>
    </row>
    <row r="159" spans="1:8" s="27" customFormat="1" ht="12" x14ac:dyDescent="0.2">
      <c r="A159" s="73" t="s">
        <v>197</v>
      </c>
      <c r="B159" s="12" t="s">
        <v>429</v>
      </c>
      <c r="C159" s="36" t="s">
        <v>177</v>
      </c>
      <c r="D159" s="36" t="s">
        <v>412</v>
      </c>
      <c r="E159" s="12" t="s">
        <v>198</v>
      </c>
      <c r="F159" s="98">
        <f>9217.732+973+2988.96-9217.7</f>
        <v>3961.9919999999984</v>
      </c>
      <c r="G159" s="115">
        <v>0</v>
      </c>
      <c r="H159" s="115">
        <v>0</v>
      </c>
    </row>
    <row r="160" spans="1:8" s="27" customFormat="1" ht="24" x14ac:dyDescent="0.2">
      <c r="A160" s="29" t="s">
        <v>776</v>
      </c>
      <c r="B160" s="30" t="s">
        <v>431</v>
      </c>
      <c r="C160" s="30" t="s">
        <v>177</v>
      </c>
      <c r="D160" s="30" t="s">
        <v>412</v>
      </c>
      <c r="E160" s="30"/>
      <c r="F160" s="31">
        <f t="shared" ref="F160:H161" si="30">F161</f>
        <v>4500</v>
      </c>
      <c r="G160" s="45">
        <f t="shared" si="30"/>
        <v>0</v>
      </c>
      <c r="H160" s="45">
        <f t="shared" si="30"/>
        <v>0</v>
      </c>
    </row>
    <row r="161" spans="1:8" s="27" customFormat="1" ht="12" x14ac:dyDescent="0.2">
      <c r="A161" s="35" t="s">
        <v>195</v>
      </c>
      <c r="B161" s="36" t="s">
        <v>431</v>
      </c>
      <c r="C161" s="36" t="s">
        <v>177</v>
      </c>
      <c r="D161" s="36" t="s">
        <v>412</v>
      </c>
      <c r="E161" s="36" t="s">
        <v>196</v>
      </c>
      <c r="F161" s="37">
        <f t="shared" si="30"/>
        <v>4500</v>
      </c>
      <c r="G161" s="46">
        <f t="shared" si="30"/>
        <v>0</v>
      </c>
      <c r="H161" s="46">
        <f t="shared" si="30"/>
        <v>0</v>
      </c>
    </row>
    <row r="162" spans="1:8" s="27" customFormat="1" ht="12" x14ac:dyDescent="0.2">
      <c r="A162" s="35" t="s">
        <v>197</v>
      </c>
      <c r="B162" s="36" t="s">
        <v>431</v>
      </c>
      <c r="C162" s="36" t="s">
        <v>177</v>
      </c>
      <c r="D162" s="36" t="s">
        <v>412</v>
      </c>
      <c r="E162" s="36" t="s">
        <v>198</v>
      </c>
      <c r="F162" s="37">
        <v>4500</v>
      </c>
      <c r="G162" s="46">
        <v>0</v>
      </c>
      <c r="H162" s="46">
        <v>0</v>
      </c>
    </row>
    <row r="163" spans="1:8" s="27" customFormat="1" ht="27" x14ac:dyDescent="0.2">
      <c r="A163" s="38" t="s">
        <v>784</v>
      </c>
      <c r="B163" s="32" t="s">
        <v>433</v>
      </c>
      <c r="C163" s="32"/>
      <c r="D163" s="32"/>
      <c r="E163" s="32"/>
      <c r="F163" s="31">
        <f>F164</f>
        <v>8386.5789999999997</v>
      </c>
      <c r="G163" s="31">
        <f t="shared" ref="G163:H166" si="31">G164</f>
        <v>8160</v>
      </c>
      <c r="H163" s="31">
        <f t="shared" si="31"/>
        <v>8160</v>
      </c>
    </row>
    <row r="164" spans="1:8" s="27" customFormat="1" ht="12" x14ac:dyDescent="0.2">
      <c r="A164" s="60" t="s">
        <v>434</v>
      </c>
      <c r="B164" s="49" t="s">
        <v>435</v>
      </c>
      <c r="C164" s="49"/>
      <c r="D164" s="49"/>
      <c r="E164" s="49"/>
      <c r="F164" s="53">
        <f>F165</f>
        <v>8386.5789999999997</v>
      </c>
      <c r="G164" s="53">
        <f t="shared" si="31"/>
        <v>8160</v>
      </c>
      <c r="H164" s="53">
        <f t="shared" si="31"/>
        <v>8160</v>
      </c>
    </row>
    <row r="165" spans="1:8" s="27" customFormat="1" ht="12" x14ac:dyDescent="0.2">
      <c r="A165" s="29" t="s">
        <v>781</v>
      </c>
      <c r="B165" s="30" t="s">
        <v>435</v>
      </c>
      <c r="C165" s="30" t="s">
        <v>177</v>
      </c>
      <c r="D165" s="30"/>
      <c r="E165" s="49"/>
      <c r="F165" s="31">
        <f>F166</f>
        <v>8386.5789999999997</v>
      </c>
      <c r="G165" s="31">
        <f t="shared" si="31"/>
        <v>8160</v>
      </c>
      <c r="H165" s="31">
        <f t="shared" si="31"/>
        <v>8160</v>
      </c>
    </row>
    <row r="166" spans="1:8" s="27" customFormat="1" ht="12" x14ac:dyDescent="0.2">
      <c r="A166" s="29" t="s">
        <v>411</v>
      </c>
      <c r="B166" s="30" t="s">
        <v>435</v>
      </c>
      <c r="C166" s="30" t="s">
        <v>177</v>
      </c>
      <c r="D166" s="30" t="s">
        <v>412</v>
      </c>
      <c r="E166" s="49"/>
      <c r="F166" s="31">
        <f>F167</f>
        <v>8386.5789999999997</v>
      </c>
      <c r="G166" s="31">
        <f t="shared" si="31"/>
        <v>8160</v>
      </c>
      <c r="H166" s="31">
        <f t="shared" si="31"/>
        <v>8160</v>
      </c>
    </row>
    <row r="167" spans="1:8" s="27" customFormat="1" ht="12" x14ac:dyDescent="0.2">
      <c r="A167" s="29" t="s">
        <v>263</v>
      </c>
      <c r="B167" s="30" t="s">
        <v>435</v>
      </c>
      <c r="C167" s="30" t="s">
        <v>177</v>
      </c>
      <c r="D167" s="30" t="s">
        <v>412</v>
      </c>
      <c r="E167" s="30"/>
      <c r="F167" s="31">
        <f>F168+F170+F172</f>
        <v>8386.5789999999997</v>
      </c>
      <c r="G167" s="31">
        <f>G168+G170+G172</f>
        <v>8160</v>
      </c>
      <c r="H167" s="31">
        <f>H168+H170+H172</f>
        <v>8160</v>
      </c>
    </row>
    <row r="168" spans="1:8" s="27" customFormat="1" ht="36" x14ac:dyDescent="0.2">
      <c r="A168" s="35" t="s">
        <v>185</v>
      </c>
      <c r="B168" s="36" t="s">
        <v>435</v>
      </c>
      <c r="C168" s="36" t="s">
        <v>177</v>
      </c>
      <c r="D168" s="36" t="s">
        <v>412</v>
      </c>
      <c r="E168" s="36" t="s">
        <v>186</v>
      </c>
      <c r="F168" s="37">
        <f>F169</f>
        <v>8040.5789999999997</v>
      </c>
      <c r="G168" s="37">
        <f t="shared" ref="G168:H168" si="32">G169</f>
        <v>7914</v>
      </c>
      <c r="H168" s="37">
        <f t="shared" si="32"/>
        <v>7914</v>
      </c>
    </row>
    <row r="169" spans="1:8" s="27" customFormat="1" ht="12" x14ac:dyDescent="0.2">
      <c r="A169" s="35" t="s">
        <v>266</v>
      </c>
      <c r="B169" s="36" t="s">
        <v>435</v>
      </c>
      <c r="C169" s="36" t="s">
        <v>177</v>
      </c>
      <c r="D169" s="36" t="s">
        <v>412</v>
      </c>
      <c r="E169" s="36" t="s">
        <v>267</v>
      </c>
      <c r="F169" s="98">
        <f>7914+126.579</f>
        <v>8040.5789999999997</v>
      </c>
      <c r="G169" s="98">
        <v>7914</v>
      </c>
      <c r="H169" s="98">
        <v>7914</v>
      </c>
    </row>
    <row r="170" spans="1:8" s="27" customFormat="1" ht="12" x14ac:dyDescent="0.2">
      <c r="A170" s="35" t="s">
        <v>195</v>
      </c>
      <c r="B170" s="36" t="s">
        <v>435</v>
      </c>
      <c r="C170" s="36" t="s">
        <v>177</v>
      </c>
      <c r="D170" s="36" t="s">
        <v>412</v>
      </c>
      <c r="E170" s="36" t="s">
        <v>196</v>
      </c>
      <c r="F170" s="98">
        <f>F171</f>
        <v>310</v>
      </c>
      <c r="G170" s="98">
        <f t="shared" ref="G170:H170" si="33">G171</f>
        <v>210</v>
      </c>
      <c r="H170" s="98">
        <f t="shared" si="33"/>
        <v>210</v>
      </c>
    </row>
    <row r="171" spans="1:8" s="27" customFormat="1" ht="12" x14ac:dyDescent="0.2">
      <c r="A171" s="35" t="s">
        <v>197</v>
      </c>
      <c r="B171" s="36" t="s">
        <v>435</v>
      </c>
      <c r="C171" s="36" t="s">
        <v>177</v>
      </c>
      <c r="D171" s="36" t="s">
        <v>412</v>
      </c>
      <c r="E171" s="36" t="s">
        <v>198</v>
      </c>
      <c r="F171" s="98">
        <f>210+100</f>
        <v>310</v>
      </c>
      <c r="G171" s="98">
        <v>210</v>
      </c>
      <c r="H171" s="98">
        <v>210</v>
      </c>
    </row>
    <row r="172" spans="1:8" s="27" customFormat="1" ht="12" x14ac:dyDescent="0.2">
      <c r="A172" s="35" t="s">
        <v>199</v>
      </c>
      <c r="B172" s="36" t="s">
        <v>435</v>
      </c>
      <c r="C172" s="36" t="s">
        <v>177</v>
      </c>
      <c r="D172" s="36" t="s">
        <v>412</v>
      </c>
      <c r="E172" s="36" t="s">
        <v>200</v>
      </c>
      <c r="F172" s="98">
        <f>F173</f>
        <v>36</v>
      </c>
      <c r="G172" s="98">
        <f t="shared" ref="G172:H172" si="34">G173</f>
        <v>36</v>
      </c>
      <c r="H172" s="98">
        <f t="shared" si="34"/>
        <v>36</v>
      </c>
    </row>
    <row r="173" spans="1:8" s="27" customFormat="1" ht="12" x14ac:dyDescent="0.2">
      <c r="A173" s="35" t="s">
        <v>201</v>
      </c>
      <c r="B173" s="36" t="s">
        <v>435</v>
      </c>
      <c r="C173" s="36" t="s">
        <v>177</v>
      </c>
      <c r="D173" s="36" t="s">
        <v>412</v>
      </c>
      <c r="E173" s="36" t="s">
        <v>202</v>
      </c>
      <c r="F173" s="98">
        <v>36</v>
      </c>
      <c r="G173" s="98">
        <v>36</v>
      </c>
      <c r="H173" s="98">
        <v>36</v>
      </c>
    </row>
    <row r="174" spans="1:8" s="27" customFormat="1" ht="13.5" x14ac:dyDescent="0.2">
      <c r="A174" s="80" t="s">
        <v>516</v>
      </c>
      <c r="B174" s="199" t="s">
        <v>511</v>
      </c>
      <c r="C174" s="79"/>
      <c r="D174" s="79"/>
      <c r="E174" s="79"/>
      <c r="F174" s="78">
        <f>F175+F180+F185+F190+F200+F205+F214+F219+F224+F195+F248</f>
        <v>1033506.176</v>
      </c>
      <c r="G174" s="78">
        <f>G175+G180+G185+G190+G200+G205+G214+G219+G224+G195</f>
        <v>619902.37300000002</v>
      </c>
      <c r="H174" s="78">
        <f>H175+H180+H185+H190+H200+H205+H214+H219+H224+H195</f>
        <v>509589.1</v>
      </c>
    </row>
    <row r="175" spans="1:8" s="27" customFormat="1" ht="12" x14ac:dyDescent="0.2">
      <c r="A175" s="50" t="s">
        <v>517</v>
      </c>
      <c r="B175" s="30" t="s">
        <v>518</v>
      </c>
      <c r="C175" s="30"/>
      <c r="D175" s="30"/>
      <c r="E175" s="30"/>
      <c r="F175" s="31">
        <f t="shared" ref="F175:H178" si="35">F176</f>
        <v>202835.58500000002</v>
      </c>
      <c r="G175" s="31">
        <f t="shared" si="35"/>
        <v>83017.8</v>
      </c>
      <c r="H175" s="31">
        <f t="shared" si="35"/>
        <v>67957</v>
      </c>
    </row>
    <row r="176" spans="1:8" s="27" customFormat="1" ht="12" x14ac:dyDescent="0.2">
      <c r="A176" s="50" t="s">
        <v>367</v>
      </c>
      <c r="B176" s="30" t="s">
        <v>518</v>
      </c>
      <c r="C176" s="30" t="s">
        <v>206</v>
      </c>
      <c r="D176" s="30"/>
      <c r="E176" s="30"/>
      <c r="F176" s="31">
        <f t="shared" si="35"/>
        <v>202835.58500000002</v>
      </c>
      <c r="G176" s="31">
        <f t="shared" si="35"/>
        <v>83017.8</v>
      </c>
      <c r="H176" s="31">
        <f t="shared" si="35"/>
        <v>67957</v>
      </c>
    </row>
    <row r="177" spans="1:8" s="27" customFormat="1" ht="12" x14ac:dyDescent="0.2">
      <c r="A177" s="50" t="s">
        <v>785</v>
      </c>
      <c r="B177" s="30" t="s">
        <v>518</v>
      </c>
      <c r="C177" s="30" t="s">
        <v>206</v>
      </c>
      <c r="D177" s="30" t="s">
        <v>283</v>
      </c>
      <c r="E177" s="30"/>
      <c r="F177" s="31">
        <f t="shared" si="35"/>
        <v>202835.58500000002</v>
      </c>
      <c r="G177" s="31">
        <f t="shared" si="35"/>
        <v>83017.8</v>
      </c>
      <c r="H177" s="31">
        <f t="shared" si="35"/>
        <v>67957</v>
      </c>
    </row>
    <row r="178" spans="1:8" s="27" customFormat="1" ht="12" x14ac:dyDescent="0.2">
      <c r="A178" s="35" t="s">
        <v>195</v>
      </c>
      <c r="B178" s="36" t="s">
        <v>518</v>
      </c>
      <c r="C178" s="36" t="s">
        <v>206</v>
      </c>
      <c r="D178" s="36" t="s">
        <v>283</v>
      </c>
      <c r="E178" s="36" t="s">
        <v>196</v>
      </c>
      <c r="F178" s="37">
        <f t="shared" si="35"/>
        <v>202835.58500000002</v>
      </c>
      <c r="G178" s="37">
        <f t="shared" si="35"/>
        <v>83017.8</v>
      </c>
      <c r="H178" s="37">
        <f t="shared" si="35"/>
        <v>67957</v>
      </c>
    </row>
    <row r="179" spans="1:8" s="27" customFormat="1" ht="12" x14ac:dyDescent="0.2">
      <c r="A179" s="35" t="s">
        <v>197</v>
      </c>
      <c r="B179" s="36" t="s">
        <v>518</v>
      </c>
      <c r="C179" s="36" t="s">
        <v>206</v>
      </c>
      <c r="D179" s="36" t="s">
        <v>283</v>
      </c>
      <c r="E179" s="36" t="s">
        <v>198</v>
      </c>
      <c r="F179" s="98">
        <f>101364.8+80000-10000-30503+7189.57+5836.2+27184.105+1763.91+10000+10000</f>
        <v>202835.58500000002</v>
      </c>
      <c r="G179" s="98">
        <f>103000-20000+20000-19982.2</f>
        <v>83017.8</v>
      </c>
      <c r="H179" s="98">
        <f>103000-50000+14957</f>
        <v>67957</v>
      </c>
    </row>
    <row r="180" spans="1:8" s="27" customFormat="1" ht="12" x14ac:dyDescent="0.2">
      <c r="A180" s="29" t="s">
        <v>519</v>
      </c>
      <c r="B180" s="74" t="s">
        <v>520</v>
      </c>
      <c r="C180" s="30"/>
      <c r="D180" s="30"/>
      <c r="E180" s="30"/>
      <c r="F180" s="45">
        <f t="shared" ref="F180:H183" si="36">F181</f>
        <v>1000</v>
      </c>
      <c r="G180" s="45">
        <f t="shared" si="36"/>
        <v>1000</v>
      </c>
      <c r="H180" s="45">
        <f t="shared" si="36"/>
        <v>1000</v>
      </c>
    </row>
    <row r="181" spans="1:8" s="27" customFormat="1" ht="12" x14ac:dyDescent="0.2">
      <c r="A181" s="50" t="s">
        <v>367</v>
      </c>
      <c r="B181" s="30" t="s">
        <v>520</v>
      </c>
      <c r="C181" s="30" t="s">
        <v>206</v>
      </c>
      <c r="D181" s="30"/>
      <c r="E181" s="30"/>
      <c r="F181" s="45">
        <f t="shared" si="36"/>
        <v>1000</v>
      </c>
      <c r="G181" s="45">
        <f t="shared" si="36"/>
        <v>1000</v>
      </c>
      <c r="H181" s="45">
        <f t="shared" si="36"/>
        <v>1000</v>
      </c>
    </row>
    <row r="182" spans="1:8" s="27" customFormat="1" ht="12" x14ac:dyDescent="0.2">
      <c r="A182" s="50" t="s">
        <v>785</v>
      </c>
      <c r="B182" s="30" t="s">
        <v>520</v>
      </c>
      <c r="C182" s="30" t="s">
        <v>206</v>
      </c>
      <c r="D182" s="30" t="s">
        <v>283</v>
      </c>
      <c r="E182" s="30"/>
      <c r="F182" s="45">
        <f t="shared" si="36"/>
        <v>1000</v>
      </c>
      <c r="G182" s="45">
        <f t="shared" si="36"/>
        <v>1000</v>
      </c>
      <c r="H182" s="45">
        <f t="shared" si="36"/>
        <v>1000</v>
      </c>
    </row>
    <row r="183" spans="1:8" s="27" customFormat="1" ht="12" x14ac:dyDescent="0.2">
      <c r="A183" s="35" t="s">
        <v>195</v>
      </c>
      <c r="B183" s="36" t="s">
        <v>520</v>
      </c>
      <c r="C183" s="36" t="s">
        <v>206</v>
      </c>
      <c r="D183" s="36" t="s">
        <v>283</v>
      </c>
      <c r="E183" s="36" t="s">
        <v>196</v>
      </c>
      <c r="F183" s="46">
        <f t="shared" si="36"/>
        <v>1000</v>
      </c>
      <c r="G183" s="46">
        <f t="shared" si="36"/>
        <v>1000</v>
      </c>
      <c r="H183" s="46">
        <f t="shared" si="36"/>
        <v>1000</v>
      </c>
    </row>
    <row r="184" spans="1:8" s="27" customFormat="1" ht="12" x14ac:dyDescent="0.2">
      <c r="A184" s="35" t="s">
        <v>197</v>
      </c>
      <c r="B184" s="36" t="s">
        <v>520</v>
      </c>
      <c r="C184" s="36" t="s">
        <v>206</v>
      </c>
      <c r="D184" s="36" t="s">
        <v>283</v>
      </c>
      <c r="E184" s="36" t="s">
        <v>198</v>
      </c>
      <c r="F184" s="98">
        <v>1000</v>
      </c>
      <c r="G184" s="98">
        <v>1000</v>
      </c>
      <c r="H184" s="98">
        <v>1000</v>
      </c>
    </row>
    <row r="185" spans="1:8" s="27" customFormat="1" ht="12" x14ac:dyDescent="0.2">
      <c r="A185" s="29" t="s">
        <v>521</v>
      </c>
      <c r="B185" s="74" t="s">
        <v>522</v>
      </c>
      <c r="C185" s="30"/>
      <c r="D185" s="30"/>
      <c r="E185" s="30"/>
      <c r="F185" s="31">
        <f t="shared" ref="F185:H188" si="37">F186</f>
        <v>7000</v>
      </c>
      <c r="G185" s="31">
        <f t="shared" si="37"/>
        <v>7000</v>
      </c>
      <c r="H185" s="31">
        <f t="shared" si="37"/>
        <v>7000</v>
      </c>
    </row>
    <row r="186" spans="1:8" s="27" customFormat="1" ht="12" x14ac:dyDescent="0.2">
      <c r="A186" s="50" t="s">
        <v>367</v>
      </c>
      <c r="B186" s="30" t="s">
        <v>522</v>
      </c>
      <c r="C186" s="30" t="s">
        <v>206</v>
      </c>
      <c r="D186" s="30"/>
      <c r="E186" s="30"/>
      <c r="F186" s="31">
        <f t="shared" si="37"/>
        <v>7000</v>
      </c>
      <c r="G186" s="31">
        <f t="shared" si="37"/>
        <v>7000</v>
      </c>
      <c r="H186" s="31">
        <f t="shared" si="37"/>
        <v>7000</v>
      </c>
    </row>
    <row r="187" spans="1:8" s="27" customFormat="1" ht="12" x14ac:dyDescent="0.2">
      <c r="A187" s="50" t="s">
        <v>785</v>
      </c>
      <c r="B187" s="30" t="s">
        <v>522</v>
      </c>
      <c r="C187" s="30" t="s">
        <v>206</v>
      </c>
      <c r="D187" s="30" t="s">
        <v>283</v>
      </c>
      <c r="E187" s="30"/>
      <c r="F187" s="31">
        <f t="shared" si="37"/>
        <v>7000</v>
      </c>
      <c r="G187" s="31">
        <f t="shared" si="37"/>
        <v>7000</v>
      </c>
      <c r="H187" s="31">
        <f t="shared" si="37"/>
        <v>7000</v>
      </c>
    </row>
    <row r="188" spans="1:8" s="27" customFormat="1" ht="12" x14ac:dyDescent="0.2">
      <c r="A188" s="35" t="s">
        <v>195</v>
      </c>
      <c r="B188" s="36" t="s">
        <v>522</v>
      </c>
      <c r="C188" s="36" t="s">
        <v>206</v>
      </c>
      <c r="D188" s="36" t="s">
        <v>283</v>
      </c>
      <c r="E188" s="36" t="s">
        <v>196</v>
      </c>
      <c r="F188" s="37">
        <f t="shared" si="37"/>
        <v>7000</v>
      </c>
      <c r="G188" s="37">
        <f t="shared" si="37"/>
        <v>7000</v>
      </c>
      <c r="H188" s="37">
        <f t="shared" si="37"/>
        <v>7000</v>
      </c>
    </row>
    <row r="189" spans="1:8" s="27" customFormat="1" ht="12" x14ac:dyDescent="0.2">
      <c r="A189" s="35" t="s">
        <v>197</v>
      </c>
      <c r="B189" s="36" t="s">
        <v>522</v>
      </c>
      <c r="C189" s="36" t="s">
        <v>206</v>
      </c>
      <c r="D189" s="36" t="s">
        <v>283</v>
      </c>
      <c r="E189" s="36" t="s">
        <v>198</v>
      </c>
      <c r="F189" s="115">
        <v>7000</v>
      </c>
      <c r="G189" s="98">
        <v>7000</v>
      </c>
      <c r="H189" s="98">
        <v>7000</v>
      </c>
    </row>
    <row r="190" spans="1:8" s="27" customFormat="1" ht="24" x14ac:dyDescent="0.2">
      <c r="A190" s="148" t="s">
        <v>523</v>
      </c>
      <c r="B190" s="30" t="s">
        <v>524</v>
      </c>
      <c r="C190" s="30"/>
      <c r="D190" s="30"/>
      <c r="E190" s="30"/>
      <c r="F190" s="31">
        <f t="shared" ref="F190:H193" si="38">F191</f>
        <v>32263.5</v>
      </c>
      <c r="G190" s="31">
        <f t="shared" si="38"/>
        <v>7000</v>
      </c>
      <c r="H190" s="31">
        <f t="shared" si="38"/>
        <v>7000</v>
      </c>
    </row>
    <row r="191" spans="1:8" s="27" customFormat="1" ht="12" x14ac:dyDescent="0.2">
      <c r="A191" s="50" t="s">
        <v>367</v>
      </c>
      <c r="B191" s="30" t="s">
        <v>524</v>
      </c>
      <c r="C191" s="30" t="s">
        <v>206</v>
      </c>
      <c r="D191" s="30"/>
      <c r="E191" s="30"/>
      <c r="F191" s="31">
        <f t="shared" si="38"/>
        <v>32263.5</v>
      </c>
      <c r="G191" s="31">
        <f t="shared" si="38"/>
        <v>7000</v>
      </c>
      <c r="H191" s="31">
        <f t="shared" si="38"/>
        <v>7000</v>
      </c>
    </row>
    <row r="192" spans="1:8" s="27" customFormat="1" ht="12" x14ac:dyDescent="0.2">
      <c r="A192" s="50" t="s">
        <v>785</v>
      </c>
      <c r="B192" s="30" t="s">
        <v>524</v>
      </c>
      <c r="C192" s="30" t="s">
        <v>206</v>
      </c>
      <c r="D192" s="30" t="s">
        <v>283</v>
      </c>
      <c r="E192" s="30"/>
      <c r="F192" s="31">
        <f t="shared" si="38"/>
        <v>32263.5</v>
      </c>
      <c r="G192" s="31">
        <f t="shared" si="38"/>
        <v>7000</v>
      </c>
      <c r="H192" s="31">
        <f t="shared" si="38"/>
        <v>7000</v>
      </c>
    </row>
    <row r="193" spans="1:8" s="27" customFormat="1" ht="12" x14ac:dyDescent="0.2">
      <c r="A193" s="35" t="s">
        <v>195</v>
      </c>
      <c r="B193" s="36" t="s">
        <v>524</v>
      </c>
      <c r="C193" s="36" t="s">
        <v>206</v>
      </c>
      <c r="D193" s="36" t="s">
        <v>283</v>
      </c>
      <c r="E193" s="36" t="s">
        <v>196</v>
      </c>
      <c r="F193" s="37">
        <f t="shared" si="38"/>
        <v>32263.5</v>
      </c>
      <c r="G193" s="37">
        <f t="shared" si="38"/>
        <v>7000</v>
      </c>
      <c r="H193" s="37">
        <f t="shared" si="38"/>
        <v>7000</v>
      </c>
    </row>
    <row r="194" spans="1:8" s="27" customFormat="1" ht="12" x14ac:dyDescent="0.2">
      <c r="A194" s="35" t="s">
        <v>197</v>
      </c>
      <c r="B194" s="36" t="s">
        <v>524</v>
      </c>
      <c r="C194" s="36" t="s">
        <v>206</v>
      </c>
      <c r="D194" s="36" t="s">
        <v>283</v>
      </c>
      <c r="E194" s="36" t="s">
        <v>198</v>
      </c>
      <c r="F194" s="98">
        <f>7000+10000+1230.38+222.42+1810.7+12000</f>
        <v>32263.5</v>
      </c>
      <c r="G194" s="98">
        <v>7000</v>
      </c>
      <c r="H194" s="98">
        <v>7000</v>
      </c>
    </row>
    <row r="195" spans="1:8" s="27" customFormat="1" ht="12" x14ac:dyDescent="0.2">
      <c r="A195" s="148" t="s">
        <v>525</v>
      </c>
      <c r="B195" s="55" t="s">
        <v>526</v>
      </c>
      <c r="C195" s="30"/>
      <c r="D195" s="30"/>
      <c r="E195" s="55"/>
      <c r="F195" s="45">
        <f>F196</f>
        <v>5000</v>
      </c>
      <c r="G195" s="45">
        <f t="shared" ref="G195:H198" si="39">G196</f>
        <v>5000</v>
      </c>
      <c r="H195" s="45">
        <f t="shared" si="39"/>
        <v>5000</v>
      </c>
    </row>
    <row r="196" spans="1:8" s="27" customFormat="1" ht="12" x14ac:dyDescent="0.2">
      <c r="A196" s="50" t="s">
        <v>367</v>
      </c>
      <c r="B196" s="55" t="s">
        <v>526</v>
      </c>
      <c r="C196" s="30" t="s">
        <v>206</v>
      </c>
      <c r="D196" s="30"/>
      <c r="E196" s="55"/>
      <c r="F196" s="45">
        <f>F197</f>
        <v>5000</v>
      </c>
      <c r="G196" s="45">
        <f t="shared" si="39"/>
        <v>5000</v>
      </c>
      <c r="H196" s="45">
        <f t="shared" si="39"/>
        <v>5000</v>
      </c>
    </row>
    <row r="197" spans="1:8" s="27" customFormat="1" ht="12" x14ac:dyDescent="0.2">
      <c r="A197" s="50" t="s">
        <v>785</v>
      </c>
      <c r="B197" s="55" t="s">
        <v>526</v>
      </c>
      <c r="C197" s="30" t="s">
        <v>206</v>
      </c>
      <c r="D197" s="30" t="s">
        <v>283</v>
      </c>
      <c r="E197" s="55"/>
      <c r="F197" s="45">
        <f>F198</f>
        <v>5000</v>
      </c>
      <c r="G197" s="45">
        <f t="shared" si="39"/>
        <v>5000</v>
      </c>
      <c r="H197" s="45">
        <f t="shared" si="39"/>
        <v>5000</v>
      </c>
    </row>
    <row r="198" spans="1:8" s="27" customFormat="1" ht="12" x14ac:dyDescent="0.2">
      <c r="A198" s="35" t="s">
        <v>195</v>
      </c>
      <c r="B198" s="48" t="s">
        <v>526</v>
      </c>
      <c r="C198" s="36" t="s">
        <v>206</v>
      </c>
      <c r="D198" s="36" t="s">
        <v>283</v>
      </c>
      <c r="E198" s="36" t="s">
        <v>196</v>
      </c>
      <c r="F198" s="46">
        <f>F199</f>
        <v>5000</v>
      </c>
      <c r="G198" s="46">
        <f t="shared" si="39"/>
        <v>5000</v>
      </c>
      <c r="H198" s="46">
        <f t="shared" si="39"/>
        <v>5000</v>
      </c>
    </row>
    <row r="199" spans="1:8" s="27" customFormat="1" ht="12" x14ac:dyDescent="0.2">
      <c r="A199" s="35" t="s">
        <v>197</v>
      </c>
      <c r="B199" s="48" t="s">
        <v>526</v>
      </c>
      <c r="C199" s="36" t="s">
        <v>206</v>
      </c>
      <c r="D199" s="36" t="s">
        <v>283</v>
      </c>
      <c r="E199" s="36" t="s">
        <v>198</v>
      </c>
      <c r="F199" s="98">
        <v>5000</v>
      </c>
      <c r="G199" s="98">
        <v>5000</v>
      </c>
      <c r="H199" s="98">
        <v>5000</v>
      </c>
    </row>
    <row r="200" spans="1:8" s="27" customFormat="1" ht="12" x14ac:dyDescent="0.2">
      <c r="A200" s="29" t="s">
        <v>527</v>
      </c>
      <c r="B200" s="30" t="s">
        <v>528</v>
      </c>
      <c r="C200" s="30"/>
      <c r="D200" s="30"/>
      <c r="E200" s="30"/>
      <c r="F200" s="31">
        <f t="shared" ref="F200:H203" si="40">F201</f>
        <v>149000</v>
      </c>
      <c r="G200" s="31">
        <f t="shared" si="40"/>
        <v>98873</v>
      </c>
      <c r="H200" s="31">
        <f t="shared" si="40"/>
        <v>50000</v>
      </c>
    </row>
    <row r="201" spans="1:8" s="27" customFormat="1" ht="12" x14ac:dyDescent="0.2">
      <c r="A201" s="50" t="s">
        <v>367</v>
      </c>
      <c r="B201" s="30" t="s">
        <v>528</v>
      </c>
      <c r="C201" s="30" t="s">
        <v>206</v>
      </c>
      <c r="D201" s="30"/>
      <c r="E201" s="30"/>
      <c r="F201" s="31">
        <f t="shared" si="40"/>
        <v>149000</v>
      </c>
      <c r="G201" s="31">
        <f t="shared" si="40"/>
        <v>98873</v>
      </c>
      <c r="H201" s="31">
        <f t="shared" si="40"/>
        <v>50000</v>
      </c>
    </row>
    <row r="202" spans="1:8" s="27" customFormat="1" ht="12" x14ac:dyDescent="0.2">
      <c r="A202" s="50" t="s">
        <v>785</v>
      </c>
      <c r="B202" s="30" t="s">
        <v>528</v>
      </c>
      <c r="C202" s="30" t="s">
        <v>206</v>
      </c>
      <c r="D202" s="30" t="s">
        <v>283</v>
      </c>
      <c r="E202" s="30"/>
      <c r="F202" s="31">
        <f t="shared" si="40"/>
        <v>149000</v>
      </c>
      <c r="G202" s="31">
        <f t="shared" si="40"/>
        <v>98873</v>
      </c>
      <c r="H202" s="31">
        <f t="shared" si="40"/>
        <v>50000</v>
      </c>
    </row>
    <row r="203" spans="1:8" s="27" customFormat="1" ht="12" x14ac:dyDescent="0.2">
      <c r="A203" s="35" t="s">
        <v>195</v>
      </c>
      <c r="B203" s="36" t="s">
        <v>528</v>
      </c>
      <c r="C203" s="36" t="s">
        <v>206</v>
      </c>
      <c r="D203" s="36" t="s">
        <v>283</v>
      </c>
      <c r="E203" s="36" t="s">
        <v>196</v>
      </c>
      <c r="F203" s="37">
        <f t="shared" si="40"/>
        <v>149000</v>
      </c>
      <c r="G203" s="37">
        <f t="shared" si="40"/>
        <v>98873</v>
      </c>
      <c r="H203" s="37">
        <f t="shared" si="40"/>
        <v>50000</v>
      </c>
    </row>
    <row r="204" spans="1:8" s="27" customFormat="1" ht="12" x14ac:dyDescent="0.2">
      <c r="A204" s="35" t="s">
        <v>197</v>
      </c>
      <c r="B204" s="36" t="s">
        <v>528</v>
      </c>
      <c r="C204" s="36" t="s">
        <v>206</v>
      </c>
      <c r="D204" s="36" t="s">
        <v>283</v>
      </c>
      <c r="E204" s="36" t="s">
        <v>198</v>
      </c>
      <c r="F204" s="98">
        <f>100000+52000-13000+10000</f>
        <v>149000</v>
      </c>
      <c r="G204" s="98">
        <f>100000-5000-10000+13873</f>
        <v>98873</v>
      </c>
      <c r="H204" s="98">
        <f>100000-50000</f>
        <v>50000</v>
      </c>
    </row>
    <row r="205" spans="1:8" s="27" customFormat="1" ht="12" x14ac:dyDescent="0.2">
      <c r="A205" s="75" t="s">
        <v>512</v>
      </c>
      <c r="B205" s="30" t="s">
        <v>513</v>
      </c>
      <c r="C205" s="30"/>
      <c r="D205" s="30"/>
      <c r="E205" s="30"/>
      <c r="F205" s="31">
        <f>F206</f>
        <v>12775.065999999999</v>
      </c>
      <c r="G205" s="31">
        <f>G206</f>
        <v>12543.099999999999</v>
      </c>
      <c r="H205" s="31">
        <f>H206</f>
        <v>12543.099999999999</v>
      </c>
    </row>
    <row r="206" spans="1:8" s="27" customFormat="1" ht="12" x14ac:dyDescent="0.2">
      <c r="A206" s="29" t="s">
        <v>781</v>
      </c>
      <c r="B206" s="30" t="s">
        <v>513</v>
      </c>
      <c r="C206" s="30" t="s">
        <v>177</v>
      </c>
      <c r="D206" s="30"/>
      <c r="E206" s="30"/>
      <c r="F206" s="31">
        <f>F207+F210+F212</f>
        <v>12775.065999999999</v>
      </c>
      <c r="G206" s="31">
        <f>G207+G210+G212</f>
        <v>12543.099999999999</v>
      </c>
      <c r="H206" s="31">
        <f>H207+H210+H212</f>
        <v>12543.099999999999</v>
      </c>
    </row>
    <row r="207" spans="1:8" s="27" customFormat="1" ht="12" x14ac:dyDescent="0.2">
      <c r="A207" s="29" t="s">
        <v>786</v>
      </c>
      <c r="B207" s="30" t="s">
        <v>513</v>
      </c>
      <c r="C207" s="30" t="s">
        <v>177</v>
      </c>
      <c r="D207" s="30" t="s">
        <v>375</v>
      </c>
      <c r="E207" s="30"/>
      <c r="F207" s="31">
        <f t="shared" ref="F207:H208" si="41">F208</f>
        <v>9196.0659999999989</v>
      </c>
      <c r="G207" s="31">
        <f t="shared" si="41"/>
        <v>8964.0999999999985</v>
      </c>
      <c r="H207" s="31">
        <f t="shared" si="41"/>
        <v>8964.0999999999985</v>
      </c>
    </row>
    <row r="208" spans="1:8" s="27" customFormat="1" ht="36" x14ac:dyDescent="0.2">
      <c r="A208" s="35" t="s">
        <v>185</v>
      </c>
      <c r="B208" s="36" t="s">
        <v>513</v>
      </c>
      <c r="C208" s="36" t="s">
        <v>177</v>
      </c>
      <c r="D208" s="36" t="s">
        <v>375</v>
      </c>
      <c r="E208" s="36" t="s">
        <v>186</v>
      </c>
      <c r="F208" s="37">
        <f t="shared" si="41"/>
        <v>9196.0659999999989</v>
      </c>
      <c r="G208" s="37">
        <f t="shared" si="41"/>
        <v>8964.0999999999985</v>
      </c>
      <c r="H208" s="37">
        <f t="shared" si="41"/>
        <v>8964.0999999999985</v>
      </c>
    </row>
    <row r="209" spans="1:8" s="27" customFormat="1" ht="12" x14ac:dyDescent="0.2">
      <c r="A209" s="35" t="s">
        <v>266</v>
      </c>
      <c r="B209" s="36" t="s">
        <v>513</v>
      </c>
      <c r="C209" s="36" t="s">
        <v>177</v>
      </c>
      <c r="D209" s="36" t="s">
        <v>375</v>
      </c>
      <c r="E209" s="36" t="s">
        <v>267</v>
      </c>
      <c r="F209" s="98">
        <f>6854.9+30+2079.2+231.966</f>
        <v>9196.0659999999989</v>
      </c>
      <c r="G209" s="98">
        <f>6854.9+30+2079.2</f>
        <v>8964.0999999999985</v>
      </c>
      <c r="H209" s="98">
        <f>6854.9+30+2079.2</f>
        <v>8964.0999999999985</v>
      </c>
    </row>
    <row r="210" spans="1:8" s="27" customFormat="1" ht="12" x14ac:dyDescent="0.2">
      <c r="A210" s="35" t="s">
        <v>195</v>
      </c>
      <c r="B210" s="36" t="s">
        <v>513</v>
      </c>
      <c r="C210" s="36" t="s">
        <v>177</v>
      </c>
      <c r="D210" s="36" t="s">
        <v>375</v>
      </c>
      <c r="E210" s="36" t="s">
        <v>196</v>
      </c>
      <c r="F210" s="98">
        <f>F211</f>
        <v>2975</v>
      </c>
      <c r="G210" s="98">
        <f>G211</f>
        <v>2975</v>
      </c>
      <c r="H210" s="98">
        <f>H211</f>
        <v>2975</v>
      </c>
    </row>
    <row r="211" spans="1:8" s="27" customFormat="1" ht="12" x14ac:dyDescent="0.2">
      <c r="A211" s="35" t="s">
        <v>197</v>
      </c>
      <c r="B211" s="36" t="s">
        <v>513</v>
      </c>
      <c r="C211" s="36" t="s">
        <v>177</v>
      </c>
      <c r="D211" s="36" t="s">
        <v>375</v>
      </c>
      <c r="E211" s="36" t="s">
        <v>198</v>
      </c>
      <c r="F211" s="98">
        <v>2975</v>
      </c>
      <c r="G211" s="98">
        <v>2975</v>
      </c>
      <c r="H211" s="98">
        <v>2975</v>
      </c>
    </row>
    <row r="212" spans="1:8" s="27" customFormat="1" ht="12" x14ac:dyDescent="0.2">
      <c r="A212" s="35" t="s">
        <v>199</v>
      </c>
      <c r="B212" s="36" t="s">
        <v>513</v>
      </c>
      <c r="C212" s="36" t="s">
        <v>177</v>
      </c>
      <c r="D212" s="36" t="s">
        <v>375</v>
      </c>
      <c r="E212" s="36" t="s">
        <v>200</v>
      </c>
      <c r="F212" s="98">
        <f>F213</f>
        <v>604</v>
      </c>
      <c r="G212" s="98">
        <f t="shared" ref="G212:H212" si="42">G213</f>
        <v>604</v>
      </c>
      <c r="H212" s="98">
        <f t="shared" si="42"/>
        <v>604</v>
      </c>
    </row>
    <row r="213" spans="1:8" s="27" customFormat="1" ht="12" x14ac:dyDescent="0.2">
      <c r="A213" s="35" t="s">
        <v>201</v>
      </c>
      <c r="B213" s="36" t="s">
        <v>513</v>
      </c>
      <c r="C213" s="36" t="s">
        <v>177</v>
      </c>
      <c r="D213" s="36" t="s">
        <v>375</v>
      </c>
      <c r="E213" s="36" t="s">
        <v>202</v>
      </c>
      <c r="F213" s="98">
        <v>604</v>
      </c>
      <c r="G213" s="98">
        <v>604</v>
      </c>
      <c r="H213" s="98">
        <v>604</v>
      </c>
    </row>
    <row r="214" spans="1:8" s="27" customFormat="1" ht="24" x14ac:dyDescent="0.2">
      <c r="A214" s="75" t="s">
        <v>529</v>
      </c>
      <c r="B214" s="30" t="s">
        <v>530</v>
      </c>
      <c r="C214" s="30"/>
      <c r="D214" s="30"/>
      <c r="E214" s="30"/>
      <c r="F214" s="31">
        <f t="shared" ref="F214:H217" si="43">F215</f>
        <v>478593.39999999997</v>
      </c>
      <c r="G214" s="31">
        <f t="shared" si="43"/>
        <v>311128.90000000002</v>
      </c>
      <c r="H214" s="31">
        <f t="shared" si="43"/>
        <v>271518</v>
      </c>
    </row>
    <row r="215" spans="1:8" s="27" customFormat="1" ht="12" x14ac:dyDescent="0.2">
      <c r="A215" s="50" t="s">
        <v>367</v>
      </c>
      <c r="B215" s="30" t="s">
        <v>530</v>
      </c>
      <c r="C215" s="30" t="s">
        <v>206</v>
      </c>
      <c r="D215" s="30"/>
      <c r="E215" s="30"/>
      <c r="F215" s="31">
        <f t="shared" si="43"/>
        <v>478593.39999999997</v>
      </c>
      <c r="G215" s="31">
        <f t="shared" si="43"/>
        <v>311128.90000000002</v>
      </c>
      <c r="H215" s="31">
        <f t="shared" si="43"/>
        <v>271518</v>
      </c>
    </row>
    <row r="216" spans="1:8" s="27" customFormat="1" ht="12" x14ac:dyDescent="0.2">
      <c r="A216" s="50" t="s">
        <v>785</v>
      </c>
      <c r="B216" s="30" t="s">
        <v>530</v>
      </c>
      <c r="C216" s="30" t="s">
        <v>206</v>
      </c>
      <c r="D216" s="30" t="s">
        <v>283</v>
      </c>
      <c r="E216" s="30"/>
      <c r="F216" s="31">
        <f t="shared" si="43"/>
        <v>478593.39999999997</v>
      </c>
      <c r="G216" s="31">
        <f t="shared" si="43"/>
        <v>311128.90000000002</v>
      </c>
      <c r="H216" s="31">
        <f t="shared" si="43"/>
        <v>271518</v>
      </c>
    </row>
    <row r="217" spans="1:8" s="27" customFormat="1" ht="12" x14ac:dyDescent="0.2">
      <c r="A217" s="35" t="s">
        <v>356</v>
      </c>
      <c r="B217" s="36" t="s">
        <v>530</v>
      </c>
      <c r="C217" s="36" t="s">
        <v>206</v>
      </c>
      <c r="D217" s="36" t="s">
        <v>283</v>
      </c>
      <c r="E217" s="36" t="s">
        <v>357</v>
      </c>
      <c r="F217" s="37">
        <f t="shared" si="43"/>
        <v>478593.39999999997</v>
      </c>
      <c r="G217" s="37">
        <f t="shared" si="43"/>
        <v>311128.90000000002</v>
      </c>
      <c r="H217" s="37">
        <f t="shared" si="43"/>
        <v>271518</v>
      </c>
    </row>
    <row r="218" spans="1:8" s="27" customFormat="1" ht="12" x14ac:dyDescent="0.2">
      <c r="A218" s="35" t="s">
        <v>358</v>
      </c>
      <c r="B218" s="36" t="s">
        <v>530</v>
      </c>
      <c r="C218" s="36" t="s">
        <v>206</v>
      </c>
      <c r="D218" s="36" t="s">
        <v>283</v>
      </c>
      <c r="E218" s="36" t="s">
        <v>359</v>
      </c>
      <c r="F218" s="98">
        <f>346949.5+649+3905.5+24571.8+7000+3890+8500+15000+30503+33624.6+4000</f>
        <v>478593.39999999997</v>
      </c>
      <c r="G218" s="98">
        <f>346949.5+649-46080.5-5000-5371.3+19982.2</f>
        <v>311128.90000000002</v>
      </c>
      <c r="H218" s="98">
        <f>346949.5+649-46080.5-30000</f>
        <v>271518</v>
      </c>
    </row>
    <row r="219" spans="1:8" s="27" customFormat="1" ht="12" x14ac:dyDescent="0.2">
      <c r="A219" s="75" t="s">
        <v>531</v>
      </c>
      <c r="B219" s="30" t="s">
        <v>532</v>
      </c>
      <c r="C219" s="30"/>
      <c r="D219" s="30"/>
      <c r="E219" s="30"/>
      <c r="F219" s="45">
        <f t="shared" ref="F219:H222" si="44">F220</f>
        <v>116014.39999999999</v>
      </c>
      <c r="G219" s="45">
        <f t="shared" si="44"/>
        <v>81064.399999999994</v>
      </c>
      <c r="H219" s="45">
        <f t="shared" si="44"/>
        <v>76064.399999999994</v>
      </c>
    </row>
    <row r="220" spans="1:8" s="27" customFormat="1" ht="12" x14ac:dyDescent="0.2">
      <c r="A220" s="50" t="s">
        <v>367</v>
      </c>
      <c r="B220" s="30" t="s">
        <v>532</v>
      </c>
      <c r="C220" s="30" t="s">
        <v>206</v>
      </c>
      <c r="D220" s="30"/>
      <c r="E220" s="30"/>
      <c r="F220" s="45">
        <f t="shared" si="44"/>
        <v>116014.39999999999</v>
      </c>
      <c r="G220" s="45">
        <f t="shared" si="44"/>
        <v>81064.399999999994</v>
      </c>
      <c r="H220" s="45">
        <f t="shared" si="44"/>
        <v>76064.399999999994</v>
      </c>
    </row>
    <row r="221" spans="1:8" s="27" customFormat="1" ht="12" x14ac:dyDescent="0.2">
      <c r="A221" s="50" t="s">
        <v>785</v>
      </c>
      <c r="B221" s="30" t="s">
        <v>532</v>
      </c>
      <c r="C221" s="30" t="s">
        <v>206</v>
      </c>
      <c r="D221" s="30" t="s">
        <v>283</v>
      </c>
      <c r="E221" s="30"/>
      <c r="F221" s="45">
        <f t="shared" si="44"/>
        <v>116014.39999999999</v>
      </c>
      <c r="G221" s="45">
        <f t="shared" si="44"/>
        <v>81064.399999999994</v>
      </c>
      <c r="H221" s="45">
        <f t="shared" si="44"/>
        <v>76064.399999999994</v>
      </c>
    </row>
    <row r="222" spans="1:8" s="27" customFormat="1" ht="12" x14ac:dyDescent="0.2">
      <c r="A222" s="35" t="s">
        <v>195</v>
      </c>
      <c r="B222" s="36" t="s">
        <v>532</v>
      </c>
      <c r="C222" s="36" t="s">
        <v>206</v>
      </c>
      <c r="D222" s="36" t="s">
        <v>283</v>
      </c>
      <c r="E222" s="36" t="s">
        <v>196</v>
      </c>
      <c r="F222" s="46">
        <f t="shared" si="44"/>
        <v>116014.39999999999</v>
      </c>
      <c r="G222" s="46">
        <f t="shared" si="44"/>
        <v>81064.399999999994</v>
      </c>
      <c r="H222" s="46">
        <f t="shared" si="44"/>
        <v>76064.399999999994</v>
      </c>
    </row>
    <row r="223" spans="1:8" s="27" customFormat="1" ht="12" x14ac:dyDescent="0.2">
      <c r="A223" s="35" t="s">
        <v>197</v>
      </c>
      <c r="B223" s="36" t="s">
        <v>532</v>
      </c>
      <c r="C223" s="36" t="s">
        <v>206</v>
      </c>
      <c r="D223" s="36" t="s">
        <v>283</v>
      </c>
      <c r="E223" s="36" t="s">
        <v>198</v>
      </c>
      <c r="F223" s="98">
        <f>101064.4+15000+450-8500+8000</f>
        <v>116014.39999999999</v>
      </c>
      <c r="G223" s="98">
        <f>101064.4-5000-15000</f>
        <v>81064.399999999994</v>
      </c>
      <c r="H223" s="98">
        <f>101064.4-25000</f>
        <v>76064.399999999994</v>
      </c>
    </row>
    <row r="224" spans="1:8" s="27" customFormat="1" ht="12" x14ac:dyDescent="0.2">
      <c r="A224" s="75" t="s">
        <v>540</v>
      </c>
      <c r="B224" s="30" t="s">
        <v>511</v>
      </c>
      <c r="C224" s="30"/>
      <c r="D224" s="30"/>
      <c r="E224" s="30"/>
      <c r="F224" s="31">
        <f>F225</f>
        <v>14024.225</v>
      </c>
      <c r="G224" s="31">
        <f t="shared" ref="G224:H224" si="45">G225</f>
        <v>13275.173000000001</v>
      </c>
      <c r="H224" s="31">
        <f t="shared" si="45"/>
        <v>11506.6</v>
      </c>
    </row>
    <row r="225" spans="1:8" s="27" customFormat="1" ht="24" x14ac:dyDescent="0.2">
      <c r="A225" s="39" t="s">
        <v>728</v>
      </c>
      <c r="B225" s="40" t="s">
        <v>511</v>
      </c>
      <c r="C225" s="40"/>
      <c r="D225" s="40"/>
      <c r="E225" s="40"/>
      <c r="F225" s="41">
        <f>F226+F238+F243</f>
        <v>14024.225</v>
      </c>
      <c r="G225" s="41">
        <f>G226+G238+G243</f>
        <v>13275.173000000001</v>
      </c>
      <c r="H225" s="41">
        <f>H226+H238+H243</f>
        <v>11506.6</v>
      </c>
    </row>
    <row r="226" spans="1:8" s="27" customFormat="1" ht="12" x14ac:dyDescent="0.2">
      <c r="A226" s="50" t="s">
        <v>367</v>
      </c>
      <c r="B226" s="30" t="s">
        <v>541</v>
      </c>
      <c r="C226" s="30" t="s">
        <v>206</v>
      </c>
      <c r="D226" s="30"/>
      <c r="E226" s="40"/>
      <c r="F226" s="41">
        <f>F227+F231</f>
        <v>13343.886</v>
      </c>
      <c r="G226" s="41">
        <f>G227+G231</f>
        <v>11503.6</v>
      </c>
      <c r="H226" s="41">
        <f>H227+H231</f>
        <v>11503.6</v>
      </c>
    </row>
    <row r="227" spans="1:8" s="27" customFormat="1" ht="12" x14ac:dyDescent="0.2">
      <c r="A227" s="39" t="s">
        <v>539</v>
      </c>
      <c r="B227" s="30" t="s">
        <v>541</v>
      </c>
      <c r="C227" s="30" t="s">
        <v>206</v>
      </c>
      <c r="D227" s="30" t="s">
        <v>206</v>
      </c>
      <c r="E227" s="40"/>
      <c r="F227" s="41">
        <f t="shared" ref="F227:H229" si="46">F228</f>
        <v>12809.705</v>
      </c>
      <c r="G227" s="41">
        <f t="shared" si="46"/>
        <v>11026.6</v>
      </c>
      <c r="H227" s="41">
        <f t="shared" si="46"/>
        <v>11026.6</v>
      </c>
    </row>
    <row r="228" spans="1:8" s="27" customFormat="1" ht="12" x14ac:dyDescent="0.2">
      <c r="A228" s="75" t="s">
        <v>492</v>
      </c>
      <c r="B228" s="30" t="s">
        <v>541</v>
      </c>
      <c r="C228" s="30" t="s">
        <v>206</v>
      </c>
      <c r="D228" s="30" t="s">
        <v>206</v>
      </c>
      <c r="E228" s="30"/>
      <c r="F228" s="31">
        <f t="shared" si="46"/>
        <v>12809.705</v>
      </c>
      <c r="G228" s="31">
        <f t="shared" si="46"/>
        <v>11026.6</v>
      </c>
      <c r="H228" s="31">
        <f t="shared" si="46"/>
        <v>11026.6</v>
      </c>
    </row>
    <row r="229" spans="1:8" s="27" customFormat="1" ht="36" x14ac:dyDescent="0.2">
      <c r="A229" s="35" t="s">
        <v>185</v>
      </c>
      <c r="B229" s="36" t="s">
        <v>541</v>
      </c>
      <c r="C229" s="36" t="s">
        <v>206</v>
      </c>
      <c r="D229" s="36" t="s">
        <v>206</v>
      </c>
      <c r="E229" s="36" t="s">
        <v>186</v>
      </c>
      <c r="F229" s="37">
        <f t="shared" si="46"/>
        <v>12809.705</v>
      </c>
      <c r="G229" s="37">
        <f t="shared" si="46"/>
        <v>11026.6</v>
      </c>
      <c r="H229" s="37">
        <f t="shared" si="46"/>
        <v>11026.6</v>
      </c>
    </row>
    <row r="230" spans="1:8" s="27" customFormat="1" ht="12" x14ac:dyDescent="0.2">
      <c r="A230" s="35" t="s">
        <v>187</v>
      </c>
      <c r="B230" s="36" t="s">
        <v>541</v>
      </c>
      <c r="C230" s="36" t="s">
        <v>206</v>
      </c>
      <c r="D230" s="36" t="s">
        <v>206</v>
      </c>
      <c r="E230" s="36" t="s">
        <v>188</v>
      </c>
      <c r="F230" s="98">
        <f>8459+10+2557.6+1783.105</f>
        <v>12809.705</v>
      </c>
      <c r="G230" s="98">
        <f t="shared" ref="G230:H230" si="47">8459+10+2557.6</f>
        <v>11026.6</v>
      </c>
      <c r="H230" s="98">
        <f t="shared" si="47"/>
        <v>11026.6</v>
      </c>
    </row>
    <row r="231" spans="1:8" s="27" customFormat="1" ht="12" x14ac:dyDescent="0.2">
      <c r="A231" s="75" t="s">
        <v>193</v>
      </c>
      <c r="B231" s="30" t="s">
        <v>542</v>
      </c>
      <c r="C231" s="30"/>
      <c r="D231" s="30"/>
      <c r="E231" s="30"/>
      <c r="F231" s="31">
        <f t="shared" ref="F231:H232" si="48">F232</f>
        <v>534.18100000000004</v>
      </c>
      <c r="G231" s="31">
        <f t="shared" si="48"/>
        <v>477</v>
      </c>
      <c r="H231" s="31">
        <f t="shared" si="48"/>
        <v>477</v>
      </c>
    </row>
    <row r="232" spans="1:8" s="27" customFormat="1" ht="12" x14ac:dyDescent="0.2">
      <c r="A232" s="50" t="s">
        <v>367</v>
      </c>
      <c r="B232" s="30" t="s">
        <v>542</v>
      </c>
      <c r="C232" s="30" t="s">
        <v>206</v>
      </c>
      <c r="D232" s="30"/>
      <c r="E232" s="30"/>
      <c r="F232" s="31">
        <f t="shared" si="48"/>
        <v>534.18100000000004</v>
      </c>
      <c r="G232" s="31">
        <f t="shared" si="48"/>
        <v>477</v>
      </c>
      <c r="H232" s="31">
        <f t="shared" si="48"/>
        <v>477</v>
      </c>
    </row>
    <row r="233" spans="1:8" s="27" customFormat="1" ht="12" x14ac:dyDescent="0.2">
      <c r="A233" s="39" t="s">
        <v>539</v>
      </c>
      <c r="B233" s="30" t="s">
        <v>542</v>
      </c>
      <c r="C233" s="30" t="s">
        <v>206</v>
      </c>
      <c r="D233" s="30" t="s">
        <v>206</v>
      </c>
      <c r="E233" s="30"/>
      <c r="F233" s="31">
        <f>F234+F236</f>
        <v>534.18100000000004</v>
      </c>
      <c r="G233" s="31">
        <f>G234+G236</f>
        <v>477</v>
      </c>
      <c r="H233" s="31">
        <f>H234+H236</f>
        <v>477</v>
      </c>
    </row>
    <row r="234" spans="1:8" s="27" customFormat="1" ht="12" x14ac:dyDescent="0.2">
      <c r="A234" s="35" t="s">
        <v>195</v>
      </c>
      <c r="B234" s="36" t="s">
        <v>542</v>
      </c>
      <c r="C234" s="36" t="s">
        <v>206</v>
      </c>
      <c r="D234" s="36" t="s">
        <v>206</v>
      </c>
      <c r="E234" s="36" t="s">
        <v>196</v>
      </c>
      <c r="F234" s="37">
        <f>F235</f>
        <v>531.18100000000004</v>
      </c>
      <c r="G234" s="37">
        <f>G235</f>
        <v>474</v>
      </c>
      <c r="H234" s="37">
        <f>H235</f>
        <v>474</v>
      </c>
    </row>
    <row r="235" spans="1:8" s="27" customFormat="1" ht="12" x14ac:dyDescent="0.2">
      <c r="A235" s="35" t="s">
        <v>197</v>
      </c>
      <c r="B235" s="36" t="s">
        <v>542</v>
      </c>
      <c r="C235" s="36" t="s">
        <v>206</v>
      </c>
      <c r="D235" s="36" t="s">
        <v>206</v>
      </c>
      <c r="E235" s="36" t="s">
        <v>198</v>
      </c>
      <c r="F235" s="98">
        <f>474+57.181</f>
        <v>531.18100000000004</v>
      </c>
      <c r="G235" s="98">
        <v>474</v>
      </c>
      <c r="H235" s="98">
        <v>474</v>
      </c>
    </row>
    <row r="236" spans="1:8" s="27" customFormat="1" ht="12" x14ac:dyDescent="0.2">
      <c r="A236" s="35" t="s">
        <v>199</v>
      </c>
      <c r="B236" s="36" t="s">
        <v>542</v>
      </c>
      <c r="C236" s="36" t="s">
        <v>206</v>
      </c>
      <c r="D236" s="36" t="s">
        <v>206</v>
      </c>
      <c r="E236" s="36" t="s">
        <v>200</v>
      </c>
      <c r="F236" s="98">
        <f>F237</f>
        <v>3</v>
      </c>
      <c r="G236" s="98">
        <f t="shared" ref="G236:H236" si="49">G237</f>
        <v>3</v>
      </c>
      <c r="H236" s="98">
        <f t="shared" si="49"/>
        <v>3</v>
      </c>
    </row>
    <row r="237" spans="1:8" s="27" customFormat="1" ht="12" x14ac:dyDescent="0.2">
      <c r="A237" s="35" t="s">
        <v>201</v>
      </c>
      <c r="B237" s="36" t="s">
        <v>542</v>
      </c>
      <c r="C237" s="36" t="s">
        <v>206</v>
      </c>
      <c r="D237" s="36" t="s">
        <v>206</v>
      </c>
      <c r="E237" s="36" t="s">
        <v>202</v>
      </c>
      <c r="F237" s="98">
        <v>3</v>
      </c>
      <c r="G237" s="98">
        <v>3</v>
      </c>
      <c r="H237" s="98">
        <v>3</v>
      </c>
    </row>
    <row r="238" spans="1:8" s="128" customFormat="1" ht="12" x14ac:dyDescent="0.2">
      <c r="A238" s="75" t="s">
        <v>544</v>
      </c>
      <c r="B238" s="74" t="s">
        <v>545</v>
      </c>
      <c r="C238" s="74"/>
      <c r="D238" s="74"/>
      <c r="E238" s="74"/>
      <c r="F238" s="127">
        <f t="shared" ref="F238:H241" si="50">F239</f>
        <v>677.33900000000006</v>
      </c>
      <c r="G238" s="127">
        <f t="shared" si="50"/>
        <v>1768.5730000000001</v>
      </c>
      <c r="H238" s="127">
        <f t="shared" si="50"/>
        <v>0</v>
      </c>
    </row>
    <row r="239" spans="1:8" s="128" customFormat="1" ht="12" x14ac:dyDescent="0.2">
      <c r="A239" s="75" t="s">
        <v>446</v>
      </c>
      <c r="B239" s="74" t="s">
        <v>545</v>
      </c>
      <c r="C239" s="74" t="s">
        <v>404</v>
      </c>
      <c r="D239" s="74"/>
      <c r="E239" s="74"/>
      <c r="F239" s="127">
        <f t="shared" si="50"/>
        <v>677.33900000000006</v>
      </c>
      <c r="G239" s="127">
        <f t="shared" si="50"/>
        <v>1768.5730000000001</v>
      </c>
      <c r="H239" s="127">
        <f t="shared" si="50"/>
        <v>0</v>
      </c>
    </row>
    <row r="240" spans="1:8" s="128" customFormat="1" ht="12" x14ac:dyDescent="0.2">
      <c r="A240" s="75" t="s">
        <v>488</v>
      </c>
      <c r="B240" s="74" t="s">
        <v>545</v>
      </c>
      <c r="C240" s="74" t="s">
        <v>404</v>
      </c>
      <c r="D240" s="74" t="s">
        <v>177</v>
      </c>
      <c r="E240" s="74"/>
      <c r="F240" s="127">
        <f t="shared" si="50"/>
        <v>677.33900000000006</v>
      </c>
      <c r="G240" s="127">
        <f t="shared" si="50"/>
        <v>1768.5730000000001</v>
      </c>
      <c r="H240" s="127">
        <f t="shared" si="50"/>
        <v>0</v>
      </c>
    </row>
    <row r="241" spans="1:8" s="128" customFormat="1" ht="12" x14ac:dyDescent="0.2">
      <c r="A241" s="73" t="s">
        <v>195</v>
      </c>
      <c r="B241" s="12" t="s">
        <v>545</v>
      </c>
      <c r="C241" s="12" t="s">
        <v>404</v>
      </c>
      <c r="D241" s="12" t="s">
        <v>177</v>
      </c>
      <c r="E241" s="12" t="s">
        <v>196</v>
      </c>
      <c r="F241" s="115">
        <f t="shared" si="50"/>
        <v>677.33900000000006</v>
      </c>
      <c r="G241" s="115">
        <f t="shared" si="50"/>
        <v>1768.5730000000001</v>
      </c>
      <c r="H241" s="115">
        <f t="shared" si="50"/>
        <v>0</v>
      </c>
    </row>
    <row r="242" spans="1:8" s="128" customFormat="1" ht="12" x14ac:dyDescent="0.2">
      <c r="A242" s="73" t="s">
        <v>197</v>
      </c>
      <c r="B242" s="12" t="s">
        <v>545</v>
      </c>
      <c r="C242" s="12" t="s">
        <v>404</v>
      </c>
      <c r="D242" s="12" t="s">
        <v>177</v>
      </c>
      <c r="E242" s="12" t="s">
        <v>198</v>
      </c>
      <c r="F242" s="115">
        <v>677.33900000000006</v>
      </c>
      <c r="G242" s="115">
        <v>1768.5730000000001</v>
      </c>
      <c r="H242" s="115">
        <v>0</v>
      </c>
    </row>
    <row r="243" spans="1:8" s="27" customFormat="1" ht="12" x14ac:dyDescent="0.2">
      <c r="A243" s="75" t="s">
        <v>546</v>
      </c>
      <c r="B243" s="30" t="s">
        <v>547</v>
      </c>
      <c r="C243" s="30"/>
      <c r="D243" s="30"/>
      <c r="E243" s="30"/>
      <c r="F243" s="31">
        <f t="shared" ref="F243:H246" si="51">F244</f>
        <v>3</v>
      </c>
      <c r="G243" s="31">
        <f t="shared" si="51"/>
        <v>3</v>
      </c>
      <c r="H243" s="31">
        <f t="shared" si="51"/>
        <v>3</v>
      </c>
    </row>
    <row r="244" spans="1:8" s="27" customFormat="1" ht="12" x14ac:dyDescent="0.2">
      <c r="A244" s="29" t="s">
        <v>446</v>
      </c>
      <c r="B244" s="30" t="s">
        <v>547</v>
      </c>
      <c r="C244" s="30" t="s">
        <v>404</v>
      </c>
      <c r="D244" s="30"/>
      <c r="E244" s="30"/>
      <c r="F244" s="31">
        <f t="shared" si="51"/>
        <v>3</v>
      </c>
      <c r="G244" s="31">
        <f t="shared" si="51"/>
        <v>3</v>
      </c>
      <c r="H244" s="31">
        <f t="shared" si="51"/>
        <v>3</v>
      </c>
    </row>
    <row r="245" spans="1:8" s="27" customFormat="1" ht="12" x14ac:dyDescent="0.2">
      <c r="A245" s="29" t="s">
        <v>488</v>
      </c>
      <c r="B245" s="30" t="s">
        <v>547</v>
      </c>
      <c r="C245" s="30" t="s">
        <v>404</v>
      </c>
      <c r="D245" s="30" t="s">
        <v>177</v>
      </c>
      <c r="E245" s="30"/>
      <c r="F245" s="31">
        <f t="shared" si="51"/>
        <v>3</v>
      </c>
      <c r="G245" s="31">
        <f t="shared" si="51"/>
        <v>3</v>
      </c>
      <c r="H245" s="31">
        <f t="shared" si="51"/>
        <v>3</v>
      </c>
    </row>
    <row r="246" spans="1:8" s="27" customFormat="1" ht="12" x14ac:dyDescent="0.2">
      <c r="A246" s="35" t="s">
        <v>195</v>
      </c>
      <c r="B246" s="36" t="s">
        <v>547</v>
      </c>
      <c r="C246" s="36" t="s">
        <v>404</v>
      </c>
      <c r="D246" s="36" t="s">
        <v>177</v>
      </c>
      <c r="E246" s="36" t="s">
        <v>196</v>
      </c>
      <c r="F246" s="37">
        <f t="shared" si="51"/>
        <v>3</v>
      </c>
      <c r="G246" s="37">
        <f t="shared" si="51"/>
        <v>3</v>
      </c>
      <c r="H246" s="37">
        <f t="shared" si="51"/>
        <v>3</v>
      </c>
    </row>
    <row r="247" spans="1:8" s="27" customFormat="1" ht="12" x14ac:dyDescent="0.2">
      <c r="A247" s="35" t="s">
        <v>197</v>
      </c>
      <c r="B247" s="36" t="s">
        <v>547</v>
      </c>
      <c r="C247" s="36" t="s">
        <v>404</v>
      </c>
      <c r="D247" s="36" t="s">
        <v>177</v>
      </c>
      <c r="E247" s="36" t="s">
        <v>198</v>
      </c>
      <c r="F247" s="98">
        <v>3</v>
      </c>
      <c r="G247" s="98">
        <v>3</v>
      </c>
      <c r="H247" s="98">
        <v>3</v>
      </c>
    </row>
    <row r="248" spans="1:8" s="27" customFormat="1" ht="12" x14ac:dyDescent="0.2">
      <c r="A248" s="29" t="s">
        <v>514</v>
      </c>
      <c r="B248" s="30" t="s">
        <v>515</v>
      </c>
      <c r="C248" s="30"/>
      <c r="D248" s="30"/>
      <c r="E248" s="30"/>
      <c r="F248" s="31">
        <f t="shared" ref="F248:G251" si="52">F249</f>
        <v>15000</v>
      </c>
      <c r="G248" s="45">
        <f t="shared" si="52"/>
        <v>0</v>
      </c>
      <c r="H248" s="45">
        <f>H249</f>
        <v>0</v>
      </c>
    </row>
    <row r="249" spans="1:8" s="27" customFormat="1" ht="12" x14ac:dyDescent="0.2">
      <c r="A249" s="29" t="s">
        <v>290</v>
      </c>
      <c r="B249" s="30" t="s">
        <v>515</v>
      </c>
      <c r="C249" s="30" t="s">
        <v>177</v>
      </c>
      <c r="D249" s="30"/>
      <c r="E249" s="30"/>
      <c r="F249" s="31">
        <f t="shared" si="52"/>
        <v>15000</v>
      </c>
      <c r="G249" s="45">
        <f t="shared" si="52"/>
        <v>0</v>
      </c>
      <c r="H249" s="45">
        <f>H250</f>
        <v>0</v>
      </c>
    </row>
    <row r="250" spans="1:8" s="27" customFormat="1" ht="12" x14ac:dyDescent="0.2">
      <c r="A250" s="29" t="s">
        <v>411</v>
      </c>
      <c r="B250" s="30" t="s">
        <v>515</v>
      </c>
      <c r="C250" s="30" t="s">
        <v>177</v>
      </c>
      <c r="D250" s="30" t="s">
        <v>412</v>
      </c>
      <c r="E250" s="30"/>
      <c r="F250" s="31">
        <f t="shared" si="52"/>
        <v>15000</v>
      </c>
      <c r="G250" s="45">
        <f t="shared" si="52"/>
        <v>0</v>
      </c>
      <c r="H250" s="45">
        <f>H251</f>
        <v>0</v>
      </c>
    </row>
    <row r="251" spans="1:8" s="27" customFormat="1" ht="12" x14ac:dyDescent="0.2">
      <c r="A251" s="35" t="s">
        <v>195</v>
      </c>
      <c r="B251" s="36" t="s">
        <v>515</v>
      </c>
      <c r="C251" s="36" t="s">
        <v>177</v>
      </c>
      <c r="D251" s="36" t="s">
        <v>412</v>
      </c>
      <c r="E251" s="36" t="s">
        <v>196</v>
      </c>
      <c r="F251" s="37">
        <f t="shared" si="52"/>
        <v>15000</v>
      </c>
      <c r="G251" s="46">
        <f t="shared" si="52"/>
        <v>0</v>
      </c>
      <c r="H251" s="46">
        <f>H252</f>
        <v>0</v>
      </c>
    </row>
    <row r="252" spans="1:8" s="27" customFormat="1" ht="12" x14ac:dyDescent="0.2">
      <c r="A252" s="35" t="s">
        <v>197</v>
      </c>
      <c r="B252" s="36" t="s">
        <v>515</v>
      </c>
      <c r="C252" s="36" t="s">
        <v>177</v>
      </c>
      <c r="D252" s="36" t="s">
        <v>412</v>
      </c>
      <c r="E252" s="36" t="s">
        <v>198</v>
      </c>
      <c r="F252" s="37">
        <v>15000</v>
      </c>
      <c r="G252" s="46">
        <v>0</v>
      </c>
      <c r="H252" s="46">
        <v>0</v>
      </c>
    </row>
    <row r="253" spans="1:8" s="27" customFormat="1" ht="27" x14ac:dyDescent="0.2">
      <c r="A253" s="122" t="s">
        <v>293</v>
      </c>
      <c r="B253" s="79" t="s">
        <v>294</v>
      </c>
      <c r="C253" s="106"/>
      <c r="D253" s="106"/>
      <c r="E253" s="79"/>
      <c r="F253" s="121">
        <f>F254+F259+F264+F269+F274+F279</f>
        <v>3000</v>
      </c>
      <c r="G253" s="121">
        <f>G254+G259+G264+G269+G274+G279</f>
        <v>5000</v>
      </c>
      <c r="H253" s="121">
        <f>H254+H259+H264+H269+H274+H279</f>
        <v>5000</v>
      </c>
    </row>
    <row r="254" spans="1:8" s="27" customFormat="1" ht="24" x14ac:dyDescent="0.2">
      <c r="A254" s="148" t="s">
        <v>295</v>
      </c>
      <c r="B254" s="30" t="s">
        <v>296</v>
      </c>
      <c r="C254" s="30"/>
      <c r="D254" s="30"/>
      <c r="E254" s="30"/>
      <c r="F254" s="58">
        <f t="shared" ref="F254:H257" si="53">F255</f>
        <v>500</v>
      </c>
      <c r="G254" s="58">
        <f t="shared" si="53"/>
        <v>700</v>
      </c>
      <c r="H254" s="58">
        <f t="shared" si="53"/>
        <v>700</v>
      </c>
    </row>
    <row r="255" spans="1:8" s="27" customFormat="1" ht="12" x14ac:dyDescent="0.2">
      <c r="A255" s="57" t="s">
        <v>290</v>
      </c>
      <c r="B255" s="30" t="s">
        <v>296</v>
      </c>
      <c r="C255" s="30" t="s">
        <v>177</v>
      </c>
      <c r="D255" s="30"/>
      <c r="E255" s="30"/>
      <c r="F255" s="58">
        <f t="shared" si="53"/>
        <v>500</v>
      </c>
      <c r="G255" s="58">
        <f t="shared" si="53"/>
        <v>700</v>
      </c>
      <c r="H255" s="58">
        <f t="shared" si="53"/>
        <v>700</v>
      </c>
    </row>
    <row r="256" spans="1:8" s="27" customFormat="1" ht="12" x14ac:dyDescent="0.2">
      <c r="A256" s="57" t="s">
        <v>787</v>
      </c>
      <c r="B256" s="30" t="s">
        <v>296</v>
      </c>
      <c r="C256" s="30" t="s">
        <v>177</v>
      </c>
      <c r="D256" s="30" t="s">
        <v>292</v>
      </c>
      <c r="E256" s="30"/>
      <c r="F256" s="58">
        <f t="shared" si="53"/>
        <v>500</v>
      </c>
      <c r="G256" s="58">
        <f t="shared" si="53"/>
        <v>700</v>
      </c>
      <c r="H256" s="58">
        <f t="shared" si="53"/>
        <v>700</v>
      </c>
    </row>
    <row r="257" spans="1:8" s="27" customFormat="1" ht="12" x14ac:dyDescent="0.2">
      <c r="A257" s="35" t="s">
        <v>199</v>
      </c>
      <c r="B257" s="36" t="s">
        <v>296</v>
      </c>
      <c r="C257" s="36" t="s">
        <v>177</v>
      </c>
      <c r="D257" s="36" t="s">
        <v>292</v>
      </c>
      <c r="E257" s="36" t="s">
        <v>200</v>
      </c>
      <c r="F257" s="59">
        <f t="shared" si="53"/>
        <v>500</v>
      </c>
      <c r="G257" s="59">
        <f t="shared" si="53"/>
        <v>700</v>
      </c>
      <c r="H257" s="59">
        <f t="shared" si="53"/>
        <v>700</v>
      </c>
    </row>
    <row r="258" spans="1:8" s="27" customFormat="1" ht="24" x14ac:dyDescent="0.2">
      <c r="A258" s="35" t="s">
        <v>297</v>
      </c>
      <c r="B258" s="36" t="s">
        <v>296</v>
      </c>
      <c r="C258" s="36" t="s">
        <v>177</v>
      </c>
      <c r="D258" s="36" t="s">
        <v>292</v>
      </c>
      <c r="E258" s="36" t="s">
        <v>298</v>
      </c>
      <c r="F258" s="115">
        <v>500</v>
      </c>
      <c r="G258" s="98">
        <v>700</v>
      </c>
      <c r="H258" s="98">
        <v>700</v>
      </c>
    </row>
    <row r="259" spans="1:8" s="27" customFormat="1" ht="36" x14ac:dyDescent="0.2">
      <c r="A259" s="148" t="s">
        <v>299</v>
      </c>
      <c r="B259" s="30" t="s">
        <v>300</v>
      </c>
      <c r="C259" s="30"/>
      <c r="D259" s="30"/>
      <c r="E259" s="30"/>
      <c r="F259" s="58">
        <f t="shared" ref="F259:H262" si="54">F260</f>
        <v>0</v>
      </c>
      <c r="G259" s="58">
        <f t="shared" si="54"/>
        <v>500</v>
      </c>
      <c r="H259" s="58">
        <f t="shared" si="54"/>
        <v>500</v>
      </c>
    </row>
    <row r="260" spans="1:8" s="27" customFormat="1" ht="12" x14ac:dyDescent="0.2">
      <c r="A260" s="57" t="s">
        <v>290</v>
      </c>
      <c r="B260" s="30" t="s">
        <v>300</v>
      </c>
      <c r="C260" s="30" t="s">
        <v>177</v>
      </c>
      <c r="D260" s="30"/>
      <c r="E260" s="30"/>
      <c r="F260" s="58">
        <f t="shared" si="54"/>
        <v>0</v>
      </c>
      <c r="G260" s="58">
        <f t="shared" si="54"/>
        <v>500</v>
      </c>
      <c r="H260" s="58">
        <f t="shared" si="54"/>
        <v>500</v>
      </c>
    </row>
    <row r="261" spans="1:8" s="27" customFormat="1" ht="12" x14ac:dyDescent="0.2">
      <c r="A261" s="57" t="s">
        <v>787</v>
      </c>
      <c r="B261" s="30" t="s">
        <v>300</v>
      </c>
      <c r="C261" s="30" t="s">
        <v>177</v>
      </c>
      <c r="D261" s="30" t="s">
        <v>292</v>
      </c>
      <c r="E261" s="30"/>
      <c r="F261" s="58">
        <f t="shared" si="54"/>
        <v>0</v>
      </c>
      <c r="G261" s="58">
        <f t="shared" si="54"/>
        <v>500</v>
      </c>
      <c r="H261" s="58">
        <f t="shared" si="54"/>
        <v>500</v>
      </c>
    </row>
    <row r="262" spans="1:8" s="27" customFormat="1" ht="12" x14ac:dyDescent="0.2">
      <c r="A262" s="35" t="s">
        <v>195</v>
      </c>
      <c r="B262" s="36" t="s">
        <v>300</v>
      </c>
      <c r="C262" s="36" t="s">
        <v>177</v>
      </c>
      <c r="D262" s="36" t="s">
        <v>292</v>
      </c>
      <c r="E262" s="36" t="s">
        <v>196</v>
      </c>
      <c r="F262" s="59">
        <f t="shared" si="54"/>
        <v>0</v>
      </c>
      <c r="G262" s="59">
        <f t="shared" si="54"/>
        <v>500</v>
      </c>
      <c r="H262" s="59">
        <f t="shared" si="54"/>
        <v>500</v>
      </c>
    </row>
    <row r="263" spans="1:8" s="27" customFormat="1" ht="12" x14ac:dyDescent="0.2">
      <c r="A263" s="35" t="s">
        <v>197</v>
      </c>
      <c r="B263" s="36" t="s">
        <v>300</v>
      </c>
      <c r="C263" s="36" t="s">
        <v>177</v>
      </c>
      <c r="D263" s="36" t="s">
        <v>292</v>
      </c>
      <c r="E263" s="36" t="s">
        <v>198</v>
      </c>
      <c r="F263" s="115">
        <v>0</v>
      </c>
      <c r="G263" s="115">
        <f>500</f>
        <v>500</v>
      </c>
      <c r="H263" s="115">
        <f>500</f>
        <v>500</v>
      </c>
    </row>
    <row r="264" spans="1:8" s="28" customFormat="1" ht="12" x14ac:dyDescent="0.2">
      <c r="A264" s="148" t="s">
        <v>301</v>
      </c>
      <c r="B264" s="30" t="s">
        <v>302</v>
      </c>
      <c r="C264" s="30"/>
      <c r="D264" s="30"/>
      <c r="E264" s="30"/>
      <c r="F264" s="58">
        <f t="shared" ref="F264:H277" si="55">F265</f>
        <v>1300</v>
      </c>
      <c r="G264" s="58">
        <f t="shared" si="55"/>
        <v>0</v>
      </c>
      <c r="H264" s="58">
        <f t="shared" si="55"/>
        <v>0</v>
      </c>
    </row>
    <row r="265" spans="1:8" s="28" customFormat="1" ht="12" x14ac:dyDescent="0.2">
      <c r="A265" s="57" t="s">
        <v>290</v>
      </c>
      <c r="B265" s="30" t="s">
        <v>302</v>
      </c>
      <c r="C265" s="30" t="s">
        <v>177</v>
      </c>
      <c r="D265" s="30"/>
      <c r="E265" s="30"/>
      <c r="F265" s="58">
        <f t="shared" si="55"/>
        <v>1300</v>
      </c>
      <c r="G265" s="58">
        <f t="shared" si="55"/>
        <v>0</v>
      </c>
      <c r="H265" s="58">
        <f t="shared" si="55"/>
        <v>0</v>
      </c>
    </row>
    <row r="266" spans="1:8" s="28" customFormat="1" ht="15" customHeight="1" x14ac:dyDescent="0.2">
      <c r="A266" s="57" t="s">
        <v>787</v>
      </c>
      <c r="B266" s="30" t="s">
        <v>302</v>
      </c>
      <c r="C266" s="30" t="s">
        <v>177</v>
      </c>
      <c r="D266" s="30" t="s">
        <v>292</v>
      </c>
      <c r="E266" s="30"/>
      <c r="F266" s="58">
        <f t="shared" si="55"/>
        <v>1300</v>
      </c>
      <c r="G266" s="58">
        <f t="shared" si="55"/>
        <v>0</v>
      </c>
      <c r="H266" s="58">
        <f t="shared" si="55"/>
        <v>0</v>
      </c>
    </row>
    <row r="267" spans="1:8" s="28" customFormat="1" ht="12" x14ac:dyDescent="0.2">
      <c r="A267" s="35" t="s">
        <v>195</v>
      </c>
      <c r="B267" s="36" t="s">
        <v>302</v>
      </c>
      <c r="C267" s="36" t="s">
        <v>177</v>
      </c>
      <c r="D267" s="36" t="s">
        <v>292</v>
      </c>
      <c r="E267" s="36" t="s">
        <v>196</v>
      </c>
      <c r="F267" s="59">
        <f t="shared" si="55"/>
        <v>1300</v>
      </c>
      <c r="G267" s="59">
        <f t="shared" si="55"/>
        <v>0</v>
      </c>
      <c r="H267" s="59">
        <f t="shared" si="55"/>
        <v>0</v>
      </c>
    </row>
    <row r="268" spans="1:8" s="28" customFormat="1" ht="12" x14ac:dyDescent="0.2">
      <c r="A268" s="35" t="s">
        <v>197</v>
      </c>
      <c r="B268" s="36" t="s">
        <v>302</v>
      </c>
      <c r="C268" s="36" t="s">
        <v>177</v>
      </c>
      <c r="D268" s="36" t="s">
        <v>292</v>
      </c>
      <c r="E268" s="36" t="s">
        <v>198</v>
      </c>
      <c r="F268" s="115">
        <v>1300</v>
      </c>
      <c r="G268" s="115">
        <v>0</v>
      </c>
      <c r="H268" s="115">
        <v>0</v>
      </c>
    </row>
    <row r="269" spans="1:8" s="28" customFormat="1" ht="75.75" customHeight="1" x14ac:dyDescent="0.2">
      <c r="A269" s="148" t="s">
        <v>303</v>
      </c>
      <c r="B269" s="30" t="s">
        <v>304</v>
      </c>
      <c r="C269" s="30"/>
      <c r="D269" s="30"/>
      <c r="E269" s="30"/>
      <c r="F269" s="58">
        <f t="shared" si="55"/>
        <v>1000</v>
      </c>
      <c r="G269" s="58">
        <f t="shared" si="55"/>
        <v>1500</v>
      </c>
      <c r="H269" s="58">
        <f t="shared" si="55"/>
        <v>1500</v>
      </c>
    </row>
    <row r="270" spans="1:8" s="28" customFormat="1" ht="12" x14ac:dyDescent="0.2">
      <c r="A270" s="57" t="s">
        <v>290</v>
      </c>
      <c r="B270" s="30" t="s">
        <v>304</v>
      </c>
      <c r="C270" s="30" t="s">
        <v>177</v>
      </c>
      <c r="D270" s="30"/>
      <c r="E270" s="30"/>
      <c r="F270" s="58">
        <f t="shared" si="55"/>
        <v>1000</v>
      </c>
      <c r="G270" s="58">
        <f t="shared" si="55"/>
        <v>1500</v>
      </c>
      <c r="H270" s="58">
        <f t="shared" si="55"/>
        <v>1500</v>
      </c>
    </row>
    <row r="271" spans="1:8" s="28" customFormat="1" ht="12" x14ac:dyDescent="0.2">
      <c r="A271" s="57" t="s">
        <v>787</v>
      </c>
      <c r="B271" s="30" t="s">
        <v>304</v>
      </c>
      <c r="C271" s="30" t="s">
        <v>177</v>
      </c>
      <c r="D271" s="30" t="s">
        <v>292</v>
      </c>
      <c r="E271" s="30"/>
      <c r="F271" s="58">
        <f t="shared" si="55"/>
        <v>1000</v>
      </c>
      <c r="G271" s="58">
        <f t="shared" si="55"/>
        <v>1500</v>
      </c>
      <c r="H271" s="58">
        <f t="shared" si="55"/>
        <v>1500</v>
      </c>
    </row>
    <row r="272" spans="1:8" s="28" customFormat="1" ht="12" x14ac:dyDescent="0.2">
      <c r="A272" s="35" t="s">
        <v>195</v>
      </c>
      <c r="B272" s="36" t="s">
        <v>304</v>
      </c>
      <c r="C272" s="36" t="s">
        <v>177</v>
      </c>
      <c r="D272" s="36" t="s">
        <v>292</v>
      </c>
      <c r="E272" s="36" t="s">
        <v>196</v>
      </c>
      <c r="F272" s="59">
        <f t="shared" si="55"/>
        <v>1000</v>
      </c>
      <c r="G272" s="59">
        <f t="shared" si="55"/>
        <v>1500</v>
      </c>
      <c r="H272" s="59">
        <f t="shared" si="55"/>
        <v>1500</v>
      </c>
    </row>
    <row r="273" spans="1:8" s="28" customFormat="1" ht="12" x14ac:dyDescent="0.2">
      <c r="A273" s="35" t="s">
        <v>197</v>
      </c>
      <c r="B273" s="36" t="s">
        <v>304</v>
      </c>
      <c r="C273" s="36" t="s">
        <v>177</v>
      </c>
      <c r="D273" s="36" t="s">
        <v>292</v>
      </c>
      <c r="E273" s="36" t="s">
        <v>198</v>
      </c>
      <c r="F273" s="115">
        <v>1000</v>
      </c>
      <c r="G273" s="98">
        <v>1500</v>
      </c>
      <c r="H273" s="98">
        <v>1500</v>
      </c>
    </row>
    <row r="274" spans="1:8" s="136" customFormat="1" ht="36" x14ac:dyDescent="0.2">
      <c r="A274" s="148" t="s">
        <v>305</v>
      </c>
      <c r="B274" s="30" t="s">
        <v>306</v>
      </c>
      <c r="C274" s="30"/>
      <c r="D274" s="30"/>
      <c r="E274" s="30"/>
      <c r="F274" s="58">
        <f t="shared" si="55"/>
        <v>200</v>
      </c>
      <c r="G274" s="58">
        <f t="shared" si="55"/>
        <v>300</v>
      </c>
      <c r="H274" s="58">
        <f t="shared" si="55"/>
        <v>300</v>
      </c>
    </row>
    <row r="275" spans="1:8" s="136" customFormat="1" ht="12" x14ac:dyDescent="0.2">
      <c r="A275" s="57" t="s">
        <v>290</v>
      </c>
      <c r="B275" s="30" t="s">
        <v>306</v>
      </c>
      <c r="C275" s="30" t="s">
        <v>177</v>
      </c>
      <c r="D275" s="30"/>
      <c r="E275" s="30"/>
      <c r="F275" s="58">
        <f t="shared" si="55"/>
        <v>200</v>
      </c>
      <c r="G275" s="58">
        <f t="shared" si="55"/>
        <v>300</v>
      </c>
      <c r="H275" s="58">
        <f t="shared" si="55"/>
        <v>300</v>
      </c>
    </row>
    <row r="276" spans="1:8" s="136" customFormat="1" ht="12" x14ac:dyDescent="0.2">
      <c r="A276" s="57" t="s">
        <v>787</v>
      </c>
      <c r="B276" s="30" t="s">
        <v>306</v>
      </c>
      <c r="C276" s="30" t="s">
        <v>177</v>
      </c>
      <c r="D276" s="30" t="s">
        <v>292</v>
      </c>
      <c r="E276" s="30"/>
      <c r="F276" s="58">
        <f t="shared" si="55"/>
        <v>200</v>
      </c>
      <c r="G276" s="58">
        <f t="shared" si="55"/>
        <v>300</v>
      </c>
      <c r="H276" s="58">
        <f t="shared" si="55"/>
        <v>300</v>
      </c>
    </row>
    <row r="277" spans="1:8" s="136" customFormat="1" ht="12" x14ac:dyDescent="0.2">
      <c r="A277" s="35" t="s">
        <v>195</v>
      </c>
      <c r="B277" s="36" t="s">
        <v>306</v>
      </c>
      <c r="C277" s="36" t="s">
        <v>177</v>
      </c>
      <c r="D277" s="36" t="s">
        <v>292</v>
      </c>
      <c r="E277" s="36" t="s">
        <v>196</v>
      </c>
      <c r="F277" s="59">
        <f t="shared" si="55"/>
        <v>200</v>
      </c>
      <c r="G277" s="59">
        <f t="shared" si="55"/>
        <v>300</v>
      </c>
      <c r="H277" s="59">
        <f t="shared" si="55"/>
        <v>300</v>
      </c>
    </row>
    <row r="278" spans="1:8" s="136" customFormat="1" ht="12" x14ac:dyDescent="0.2">
      <c r="A278" s="35" t="s">
        <v>197</v>
      </c>
      <c r="B278" s="36" t="s">
        <v>306</v>
      </c>
      <c r="C278" s="36" t="s">
        <v>177</v>
      </c>
      <c r="D278" s="36" t="s">
        <v>292</v>
      </c>
      <c r="E278" s="36" t="s">
        <v>198</v>
      </c>
      <c r="F278" s="115">
        <f>200</f>
        <v>200</v>
      </c>
      <c r="G278" s="115">
        <f>300</f>
        <v>300</v>
      </c>
      <c r="H278" s="115">
        <f>300</f>
        <v>300</v>
      </c>
    </row>
    <row r="279" spans="1:8" s="28" customFormat="1" ht="12" x14ac:dyDescent="0.2">
      <c r="A279" s="148" t="s">
        <v>307</v>
      </c>
      <c r="B279" s="30" t="s">
        <v>308</v>
      </c>
      <c r="C279" s="30"/>
      <c r="D279" s="30"/>
      <c r="E279" s="30"/>
      <c r="F279" s="58">
        <f t="shared" ref="F279:H282" si="56">F280</f>
        <v>0</v>
      </c>
      <c r="G279" s="58">
        <f t="shared" si="56"/>
        <v>2000</v>
      </c>
      <c r="H279" s="58">
        <f t="shared" si="56"/>
        <v>2000</v>
      </c>
    </row>
    <row r="280" spans="1:8" s="28" customFormat="1" ht="12" x14ac:dyDescent="0.2">
      <c r="A280" s="57" t="s">
        <v>290</v>
      </c>
      <c r="B280" s="30" t="s">
        <v>308</v>
      </c>
      <c r="C280" s="30" t="s">
        <v>177</v>
      </c>
      <c r="D280" s="30"/>
      <c r="E280" s="30"/>
      <c r="F280" s="58">
        <f t="shared" si="56"/>
        <v>0</v>
      </c>
      <c r="G280" s="58">
        <f t="shared" si="56"/>
        <v>2000</v>
      </c>
      <c r="H280" s="58">
        <f t="shared" si="56"/>
        <v>2000</v>
      </c>
    </row>
    <row r="281" spans="1:8" s="28" customFormat="1" ht="12" x14ac:dyDescent="0.2">
      <c r="A281" s="57" t="s">
        <v>291</v>
      </c>
      <c r="B281" s="30" t="s">
        <v>308</v>
      </c>
      <c r="C281" s="30" t="s">
        <v>177</v>
      </c>
      <c r="D281" s="30" t="s">
        <v>292</v>
      </c>
      <c r="E281" s="30"/>
      <c r="F281" s="58">
        <f t="shared" si="56"/>
        <v>0</v>
      </c>
      <c r="G281" s="58">
        <f t="shared" si="56"/>
        <v>2000</v>
      </c>
      <c r="H281" s="58">
        <f t="shared" si="56"/>
        <v>2000</v>
      </c>
    </row>
    <row r="282" spans="1:8" s="28" customFormat="1" ht="12" x14ac:dyDescent="0.2">
      <c r="A282" s="35" t="s">
        <v>199</v>
      </c>
      <c r="B282" s="36" t="s">
        <v>308</v>
      </c>
      <c r="C282" s="36" t="s">
        <v>177</v>
      </c>
      <c r="D282" s="36" t="s">
        <v>292</v>
      </c>
      <c r="E282" s="36" t="s">
        <v>200</v>
      </c>
      <c r="F282" s="59">
        <f t="shared" si="56"/>
        <v>0</v>
      </c>
      <c r="G282" s="59">
        <f t="shared" si="56"/>
        <v>2000</v>
      </c>
      <c r="H282" s="59">
        <f t="shared" si="56"/>
        <v>2000</v>
      </c>
    </row>
    <row r="283" spans="1:8" s="28" customFormat="1" ht="27" customHeight="1" x14ac:dyDescent="0.2">
      <c r="A283" s="35" t="s">
        <v>297</v>
      </c>
      <c r="B283" s="36" t="s">
        <v>308</v>
      </c>
      <c r="C283" s="36" t="s">
        <v>177</v>
      </c>
      <c r="D283" s="36" t="s">
        <v>292</v>
      </c>
      <c r="E283" s="36" t="s">
        <v>298</v>
      </c>
      <c r="F283" s="115">
        <f>5000-5000</f>
        <v>0</v>
      </c>
      <c r="G283" s="115">
        <f>2000</f>
        <v>2000</v>
      </c>
      <c r="H283" s="115">
        <f>2000</f>
        <v>2000</v>
      </c>
    </row>
    <row r="284" spans="1:8" s="28" customFormat="1" ht="24" x14ac:dyDescent="0.2">
      <c r="A284" s="120" t="s">
        <v>243</v>
      </c>
      <c r="B284" s="119" t="s">
        <v>244</v>
      </c>
      <c r="C284" s="109"/>
      <c r="D284" s="109"/>
      <c r="E284" s="118"/>
      <c r="F284" s="96">
        <f t="shared" ref="F284:H289" si="57">F285</f>
        <v>860</v>
      </c>
      <c r="G284" s="96">
        <f t="shared" si="57"/>
        <v>0</v>
      </c>
      <c r="H284" s="96">
        <f t="shared" si="57"/>
        <v>0</v>
      </c>
    </row>
    <row r="285" spans="1:8" s="28" customFormat="1" ht="24" x14ac:dyDescent="0.2">
      <c r="A285" s="129" t="s">
        <v>245</v>
      </c>
      <c r="B285" s="43" t="s">
        <v>246</v>
      </c>
      <c r="C285" s="40"/>
      <c r="D285" s="40"/>
      <c r="E285" s="56"/>
      <c r="F285" s="47">
        <f t="shared" si="57"/>
        <v>860</v>
      </c>
      <c r="G285" s="47">
        <f t="shared" si="57"/>
        <v>0</v>
      </c>
      <c r="H285" s="47">
        <f t="shared" si="57"/>
        <v>0</v>
      </c>
    </row>
    <row r="286" spans="1:8" s="28" customFormat="1" ht="26.25" customHeight="1" x14ac:dyDescent="0.2">
      <c r="A286" s="75" t="s">
        <v>247</v>
      </c>
      <c r="B286" s="51" t="s">
        <v>248</v>
      </c>
      <c r="C286" s="30"/>
      <c r="D286" s="30"/>
      <c r="E286" s="55"/>
      <c r="F286" s="45">
        <f t="shared" si="57"/>
        <v>860</v>
      </c>
      <c r="G286" s="45">
        <f t="shared" si="57"/>
        <v>0</v>
      </c>
      <c r="H286" s="45">
        <f t="shared" si="57"/>
        <v>0</v>
      </c>
    </row>
    <row r="287" spans="1:8" s="28" customFormat="1" ht="12" x14ac:dyDescent="0.2">
      <c r="A287" s="29" t="s">
        <v>172</v>
      </c>
      <c r="B287" s="51" t="s">
        <v>248</v>
      </c>
      <c r="C287" s="30" t="s">
        <v>173</v>
      </c>
      <c r="D287" s="30"/>
      <c r="E287" s="55"/>
      <c r="F287" s="45">
        <f t="shared" si="57"/>
        <v>860</v>
      </c>
      <c r="G287" s="45">
        <f t="shared" si="57"/>
        <v>0</v>
      </c>
      <c r="H287" s="45">
        <f t="shared" si="57"/>
        <v>0</v>
      </c>
    </row>
    <row r="288" spans="1:8" s="28" customFormat="1" ht="12" x14ac:dyDescent="0.2">
      <c r="A288" s="29" t="s">
        <v>215</v>
      </c>
      <c r="B288" s="51" t="s">
        <v>248</v>
      </c>
      <c r="C288" s="30" t="s">
        <v>173</v>
      </c>
      <c r="D288" s="30" t="s">
        <v>216</v>
      </c>
      <c r="E288" s="55"/>
      <c r="F288" s="45">
        <f t="shared" si="57"/>
        <v>860</v>
      </c>
      <c r="G288" s="45">
        <f t="shared" si="57"/>
        <v>0</v>
      </c>
      <c r="H288" s="45">
        <f t="shared" si="57"/>
        <v>0</v>
      </c>
    </row>
    <row r="289" spans="1:8" s="28" customFormat="1" ht="12" x14ac:dyDescent="0.2">
      <c r="A289" s="35" t="s">
        <v>195</v>
      </c>
      <c r="B289" s="44" t="s">
        <v>248</v>
      </c>
      <c r="C289" s="36" t="s">
        <v>173</v>
      </c>
      <c r="D289" s="36" t="s">
        <v>216</v>
      </c>
      <c r="E289" s="48">
        <v>200</v>
      </c>
      <c r="F289" s="46">
        <f t="shared" si="57"/>
        <v>860</v>
      </c>
      <c r="G289" s="46">
        <f t="shared" si="57"/>
        <v>0</v>
      </c>
      <c r="H289" s="46">
        <f t="shared" si="57"/>
        <v>0</v>
      </c>
    </row>
    <row r="290" spans="1:8" s="28" customFormat="1" ht="12" x14ac:dyDescent="0.2">
      <c r="A290" s="35" t="s">
        <v>197</v>
      </c>
      <c r="B290" s="44" t="s">
        <v>248</v>
      </c>
      <c r="C290" s="36" t="s">
        <v>173</v>
      </c>
      <c r="D290" s="36" t="s">
        <v>216</v>
      </c>
      <c r="E290" s="48">
        <v>240</v>
      </c>
      <c r="F290" s="98">
        <v>860</v>
      </c>
      <c r="G290" s="115">
        <v>0</v>
      </c>
      <c r="H290" s="115">
        <v>0</v>
      </c>
    </row>
    <row r="291" spans="1:8" s="28" customFormat="1" ht="13.5" x14ac:dyDescent="0.2">
      <c r="A291" s="80" t="s">
        <v>788</v>
      </c>
      <c r="B291" s="79" t="s">
        <v>674</v>
      </c>
      <c r="C291" s="79"/>
      <c r="D291" s="79"/>
      <c r="E291" s="79"/>
      <c r="F291" s="78">
        <f>F292+F375+F402+F425</f>
        <v>3912226.5906899986</v>
      </c>
      <c r="G291" s="78">
        <f>G292+G375+G402+G425</f>
        <v>3973931.2039999994</v>
      </c>
      <c r="H291" s="78">
        <f>H292+H375+H402+H425</f>
        <v>4018976.952</v>
      </c>
    </row>
    <row r="292" spans="1:8" s="28" customFormat="1" ht="12" x14ac:dyDescent="0.2">
      <c r="A292" s="29" t="s">
        <v>675</v>
      </c>
      <c r="B292" s="30" t="s">
        <v>676</v>
      </c>
      <c r="C292" s="30"/>
      <c r="D292" s="30"/>
      <c r="E292" s="30"/>
      <c r="F292" s="31">
        <f>F293+F299+F311+F305+F317+F322+F339+F334+F345+F351+F357+F363+F369</f>
        <v>3839599.490689999</v>
      </c>
      <c r="G292" s="31">
        <f>G293+G299+G311+G305+G317+G322+G339+G334+G345+G351+G357+G363+G369</f>
        <v>3925517.7039999994</v>
      </c>
      <c r="H292" s="31">
        <f>H293+H299+H311+H305+H317+H322+H339+H334+H345+H351+H357+H363+H369</f>
        <v>3970563.452</v>
      </c>
    </row>
    <row r="293" spans="1:8" s="28" customFormat="1" ht="24" x14ac:dyDescent="0.2">
      <c r="A293" s="39" t="s">
        <v>677</v>
      </c>
      <c r="B293" s="40" t="s">
        <v>678</v>
      </c>
      <c r="C293" s="40"/>
      <c r="D293" s="40"/>
      <c r="E293" s="40"/>
      <c r="F293" s="41">
        <f t="shared" ref="F293:H295" si="58">F294</f>
        <v>694000.3</v>
      </c>
      <c r="G293" s="41">
        <f t="shared" si="58"/>
        <v>727613.3</v>
      </c>
      <c r="H293" s="41">
        <f t="shared" si="58"/>
        <v>727613.3</v>
      </c>
    </row>
    <row r="294" spans="1:8" s="28" customFormat="1" ht="12" x14ac:dyDescent="0.2">
      <c r="A294" s="29" t="s">
        <v>374</v>
      </c>
      <c r="B294" s="30" t="s">
        <v>679</v>
      </c>
      <c r="C294" s="30" t="s">
        <v>375</v>
      </c>
      <c r="D294" s="30"/>
      <c r="E294" s="30"/>
      <c r="F294" s="31">
        <f t="shared" si="58"/>
        <v>694000.3</v>
      </c>
      <c r="G294" s="31">
        <f t="shared" si="58"/>
        <v>727613.3</v>
      </c>
      <c r="H294" s="31">
        <f t="shared" si="58"/>
        <v>727613.3</v>
      </c>
    </row>
    <row r="295" spans="1:8" s="28" customFormat="1" ht="12" x14ac:dyDescent="0.2">
      <c r="A295" s="29" t="s">
        <v>672</v>
      </c>
      <c r="B295" s="30" t="s">
        <v>679</v>
      </c>
      <c r="C295" s="30" t="s">
        <v>375</v>
      </c>
      <c r="D295" s="30" t="s">
        <v>173</v>
      </c>
      <c r="E295" s="30"/>
      <c r="F295" s="31">
        <f t="shared" si="58"/>
        <v>694000.3</v>
      </c>
      <c r="G295" s="31">
        <f t="shared" si="58"/>
        <v>727613.3</v>
      </c>
      <c r="H295" s="31">
        <f t="shared" si="58"/>
        <v>727613.3</v>
      </c>
    </row>
    <row r="296" spans="1:8" s="28" customFormat="1" ht="12" x14ac:dyDescent="0.2">
      <c r="A296" s="35" t="s">
        <v>356</v>
      </c>
      <c r="B296" s="36" t="s">
        <v>679</v>
      </c>
      <c r="C296" s="36" t="s">
        <v>375</v>
      </c>
      <c r="D296" s="36" t="s">
        <v>173</v>
      </c>
      <c r="E296" s="36" t="s">
        <v>357</v>
      </c>
      <c r="F296" s="98">
        <f>F297+F298</f>
        <v>694000.3</v>
      </c>
      <c r="G296" s="98">
        <f>G297+G298</f>
        <v>727613.3</v>
      </c>
      <c r="H296" s="98">
        <f>H297+H298</f>
        <v>727613.3</v>
      </c>
    </row>
    <row r="297" spans="1:8" s="28" customFormat="1" ht="12" x14ac:dyDescent="0.2">
      <c r="A297" s="35" t="s">
        <v>358</v>
      </c>
      <c r="B297" s="36" t="s">
        <v>679</v>
      </c>
      <c r="C297" s="36" t="s">
        <v>375</v>
      </c>
      <c r="D297" s="36" t="s">
        <v>173</v>
      </c>
      <c r="E297" s="36" t="s">
        <v>359</v>
      </c>
      <c r="F297" s="98">
        <f>657455.3-3393-10000-10000-7500-220-2500-6719.416</f>
        <v>617122.88400000008</v>
      </c>
      <c r="G297" s="98">
        <v>657455.30000000005</v>
      </c>
      <c r="H297" s="98">
        <v>657455.30000000005</v>
      </c>
    </row>
    <row r="298" spans="1:8" s="28" customFormat="1" ht="12" x14ac:dyDescent="0.2">
      <c r="A298" s="35" t="s">
        <v>383</v>
      </c>
      <c r="B298" s="36" t="s">
        <v>679</v>
      </c>
      <c r="C298" s="36" t="s">
        <v>375</v>
      </c>
      <c r="D298" s="36" t="s">
        <v>173</v>
      </c>
      <c r="E298" s="36" t="s">
        <v>384</v>
      </c>
      <c r="F298" s="98">
        <f>70158+6719.416</f>
        <v>76877.415999999997</v>
      </c>
      <c r="G298" s="98">
        <v>70158</v>
      </c>
      <c r="H298" s="98">
        <v>70158</v>
      </c>
    </row>
    <row r="299" spans="1:8" s="28" customFormat="1" ht="36" x14ac:dyDescent="0.2">
      <c r="A299" s="129" t="s">
        <v>680</v>
      </c>
      <c r="B299" s="83" t="s">
        <v>681</v>
      </c>
      <c r="C299" s="83"/>
      <c r="D299" s="83"/>
      <c r="E299" s="83"/>
      <c r="F299" s="145">
        <f t="shared" ref="F299:H301" si="59">F300</f>
        <v>1018744.11</v>
      </c>
      <c r="G299" s="145">
        <f t="shared" si="59"/>
        <v>1120834</v>
      </c>
      <c r="H299" s="145">
        <f t="shared" si="59"/>
        <v>1144371.5</v>
      </c>
    </row>
    <row r="300" spans="1:8" s="28" customFormat="1" ht="12" x14ac:dyDescent="0.2">
      <c r="A300" s="75" t="s">
        <v>374</v>
      </c>
      <c r="B300" s="74" t="s">
        <v>681</v>
      </c>
      <c r="C300" s="74" t="s">
        <v>375</v>
      </c>
      <c r="D300" s="74"/>
      <c r="E300" s="74"/>
      <c r="F300" s="127">
        <f t="shared" si="59"/>
        <v>1018744.11</v>
      </c>
      <c r="G300" s="127">
        <f t="shared" si="59"/>
        <v>1120834</v>
      </c>
      <c r="H300" s="127">
        <f t="shared" si="59"/>
        <v>1144371.5</v>
      </c>
    </row>
    <row r="301" spans="1:8" s="28" customFormat="1" ht="12" x14ac:dyDescent="0.2">
      <c r="A301" s="75" t="s">
        <v>672</v>
      </c>
      <c r="B301" s="74" t="s">
        <v>681</v>
      </c>
      <c r="C301" s="74" t="s">
        <v>375</v>
      </c>
      <c r="D301" s="74" t="s">
        <v>173</v>
      </c>
      <c r="E301" s="74"/>
      <c r="F301" s="127">
        <f t="shared" si="59"/>
        <v>1018744.11</v>
      </c>
      <c r="G301" s="127">
        <f t="shared" si="59"/>
        <v>1120834</v>
      </c>
      <c r="H301" s="127">
        <f t="shared" si="59"/>
        <v>1144371.5</v>
      </c>
    </row>
    <row r="302" spans="1:8" s="28" customFormat="1" ht="12" x14ac:dyDescent="0.2">
      <c r="A302" s="73" t="s">
        <v>356</v>
      </c>
      <c r="B302" s="12" t="s">
        <v>681</v>
      </c>
      <c r="C302" s="12" t="s">
        <v>375</v>
      </c>
      <c r="D302" s="12" t="s">
        <v>173</v>
      </c>
      <c r="E302" s="12" t="s">
        <v>357</v>
      </c>
      <c r="F302" s="115">
        <f>F303+F304</f>
        <v>1018744.11</v>
      </c>
      <c r="G302" s="115">
        <f>G303+G304</f>
        <v>1120834</v>
      </c>
      <c r="H302" s="115">
        <f>H303+H304</f>
        <v>1144371.5</v>
      </c>
    </row>
    <row r="303" spans="1:8" s="28" customFormat="1" ht="12" x14ac:dyDescent="0.2">
      <c r="A303" s="73" t="s">
        <v>358</v>
      </c>
      <c r="B303" s="12" t="s">
        <v>681</v>
      </c>
      <c r="C303" s="12" t="s">
        <v>375</v>
      </c>
      <c r="D303" s="12" t="s">
        <v>173</v>
      </c>
      <c r="E303" s="12" t="s">
        <v>359</v>
      </c>
      <c r="F303" s="98">
        <f>979805+28000-20000-63690.99</f>
        <v>924114.01</v>
      </c>
      <c r="G303" s="98">
        <v>1032310.7</v>
      </c>
      <c r="H303" s="98">
        <v>1055848.2</v>
      </c>
    </row>
    <row r="304" spans="1:8" s="28" customFormat="1" ht="12" x14ac:dyDescent="0.2">
      <c r="A304" s="73" t="s">
        <v>383</v>
      </c>
      <c r="B304" s="12" t="s">
        <v>681</v>
      </c>
      <c r="C304" s="12" t="s">
        <v>375</v>
      </c>
      <c r="D304" s="12" t="s">
        <v>173</v>
      </c>
      <c r="E304" s="12" t="s">
        <v>384</v>
      </c>
      <c r="F304" s="98">
        <f>98523.3+2673-6566.2</f>
        <v>94630.1</v>
      </c>
      <c r="G304" s="98">
        <v>88523.3</v>
      </c>
      <c r="H304" s="98">
        <v>88523.3</v>
      </c>
    </row>
    <row r="305" spans="1:8" s="28" customFormat="1" ht="12" x14ac:dyDescent="0.2">
      <c r="A305" s="75" t="s">
        <v>683</v>
      </c>
      <c r="B305" s="74" t="s">
        <v>684</v>
      </c>
      <c r="C305" s="74"/>
      <c r="D305" s="74"/>
      <c r="E305" s="74"/>
      <c r="F305" s="100">
        <f t="shared" ref="F305:H307" si="60">F306</f>
        <v>353331.3</v>
      </c>
      <c r="G305" s="100">
        <f t="shared" si="60"/>
        <v>349831.3</v>
      </c>
      <c r="H305" s="100">
        <f t="shared" si="60"/>
        <v>349831.3</v>
      </c>
    </row>
    <row r="306" spans="1:8" s="28" customFormat="1" ht="12" x14ac:dyDescent="0.2">
      <c r="A306" s="75" t="s">
        <v>374</v>
      </c>
      <c r="B306" s="74" t="s">
        <v>685</v>
      </c>
      <c r="C306" s="74" t="s">
        <v>375</v>
      </c>
      <c r="D306" s="74"/>
      <c r="E306" s="74"/>
      <c r="F306" s="100">
        <f t="shared" si="60"/>
        <v>353331.3</v>
      </c>
      <c r="G306" s="100">
        <f t="shared" si="60"/>
        <v>349831.3</v>
      </c>
      <c r="H306" s="100">
        <f t="shared" si="60"/>
        <v>349831.3</v>
      </c>
    </row>
    <row r="307" spans="1:8" s="28" customFormat="1" ht="12" x14ac:dyDescent="0.2">
      <c r="A307" s="75" t="s">
        <v>682</v>
      </c>
      <c r="B307" s="74" t="s">
        <v>685</v>
      </c>
      <c r="C307" s="74" t="s">
        <v>375</v>
      </c>
      <c r="D307" s="74" t="s">
        <v>352</v>
      </c>
      <c r="E307" s="74"/>
      <c r="F307" s="100">
        <f t="shared" si="60"/>
        <v>353331.3</v>
      </c>
      <c r="G307" s="100">
        <f t="shared" si="60"/>
        <v>349831.3</v>
      </c>
      <c r="H307" s="100">
        <f t="shared" si="60"/>
        <v>349831.3</v>
      </c>
    </row>
    <row r="308" spans="1:8" s="28" customFormat="1" ht="12" x14ac:dyDescent="0.2">
      <c r="A308" s="73" t="s">
        <v>356</v>
      </c>
      <c r="B308" s="12" t="s">
        <v>685</v>
      </c>
      <c r="C308" s="12" t="s">
        <v>375</v>
      </c>
      <c r="D308" s="12" t="s">
        <v>352</v>
      </c>
      <c r="E308" s="12" t="s">
        <v>357</v>
      </c>
      <c r="F308" s="98">
        <f>F309+F310</f>
        <v>353331.3</v>
      </c>
      <c r="G308" s="98">
        <f>G309+G310</f>
        <v>349831.3</v>
      </c>
      <c r="H308" s="98">
        <f>H309+H310</f>
        <v>349831.3</v>
      </c>
    </row>
    <row r="309" spans="1:8" s="28" customFormat="1" ht="12" x14ac:dyDescent="0.2">
      <c r="A309" s="73" t="s">
        <v>358</v>
      </c>
      <c r="B309" s="12" t="s">
        <v>685</v>
      </c>
      <c r="C309" s="12" t="s">
        <v>375</v>
      </c>
      <c r="D309" s="12" t="s">
        <v>352</v>
      </c>
      <c r="E309" s="12" t="s">
        <v>359</v>
      </c>
      <c r="F309" s="98">
        <f>335631.3-2200-3500-800+10000</f>
        <v>339131.3</v>
      </c>
      <c r="G309" s="98">
        <v>335631.3</v>
      </c>
      <c r="H309" s="98">
        <v>335631.3</v>
      </c>
    </row>
    <row r="310" spans="1:8" s="28" customFormat="1" ht="12" x14ac:dyDescent="0.2">
      <c r="A310" s="73" t="s">
        <v>383</v>
      </c>
      <c r="B310" s="12" t="s">
        <v>685</v>
      </c>
      <c r="C310" s="12" t="s">
        <v>375</v>
      </c>
      <c r="D310" s="12" t="s">
        <v>352</v>
      </c>
      <c r="E310" s="12" t="s">
        <v>384</v>
      </c>
      <c r="F310" s="98">
        <v>14200</v>
      </c>
      <c r="G310" s="98">
        <v>14200</v>
      </c>
      <c r="H310" s="98">
        <v>14200</v>
      </c>
    </row>
    <row r="311" spans="1:8" s="28" customFormat="1" ht="48" x14ac:dyDescent="0.2">
      <c r="A311" s="155" t="s">
        <v>686</v>
      </c>
      <c r="B311" s="83" t="s">
        <v>687</v>
      </c>
      <c r="C311" s="83"/>
      <c r="D311" s="83"/>
      <c r="E311" s="83"/>
      <c r="F311" s="145">
        <f t="shared" ref="F311:H313" si="61">F312</f>
        <v>1188758.5999999999</v>
      </c>
      <c r="G311" s="145">
        <f t="shared" si="61"/>
        <v>1241014</v>
      </c>
      <c r="H311" s="145">
        <f t="shared" si="61"/>
        <v>1267626.8999999999</v>
      </c>
    </row>
    <row r="312" spans="1:8" s="28" customFormat="1" ht="12" x14ac:dyDescent="0.2">
      <c r="A312" s="75" t="s">
        <v>374</v>
      </c>
      <c r="B312" s="74" t="s">
        <v>687</v>
      </c>
      <c r="C312" s="74" t="s">
        <v>375</v>
      </c>
      <c r="D312" s="74"/>
      <c r="E312" s="74"/>
      <c r="F312" s="127">
        <f t="shared" si="61"/>
        <v>1188758.5999999999</v>
      </c>
      <c r="G312" s="127">
        <f t="shared" si="61"/>
        <v>1241014</v>
      </c>
      <c r="H312" s="127">
        <f t="shared" si="61"/>
        <v>1267626.8999999999</v>
      </c>
    </row>
    <row r="313" spans="1:8" s="28" customFormat="1" ht="12" x14ac:dyDescent="0.2">
      <c r="A313" s="75" t="s">
        <v>682</v>
      </c>
      <c r="B313" s="74" t="s">
        <v>687</v>
      </c>
      <c r="C313" s="74" t="s">
        <v>375</v>
      </c>
      <c r="D313" s="74" t="s">
        <v>352</v>
      </c>
      <c r="E313" s="74"/>
      <c r="F313" s="127">
        <f t="shared" si="61"/>
        <v>1188758.5999999999</v>
      </c>
      <c r="G313" s="127">
        <f t="shared" si="61"/>
        <v>1241014</v>
      </c>
      <c r="H313" s="127">
        <f t="shared" si="61"/>
        <v>1267626.8999999999</v>
      </c>
    </row>
    <row r="314" spans="1:8" s="28" customFormat="1" ht="12" x14ac:dyDescent="0.2">
      <c r="A314" s="73" t="s">
        <v>356</v>
      </c>
      <c r="B314" s="12" t="s">
        <v>687</v>
      </c>
      <c r="C314" s="12" t="s">
        <v>375</v>
      </c>
      <c r="D314" s="12" t="s">
        <v>352</v>
      </c>
      <c r="E314" s="12" t="s">
        <v>357</v>
      </c>
      <c r="F314" s="115">
        <f>F315+F316</f>
        <v>1188758.5999999999</v>
      </c>
      <c r="G314" s="115">
        <f>G315+G316</f>
        <v>1241014</v>
      </c>
      <c r="H314" s="115">
        <f>H315+H316</f>
        <v>1267626.8999999999</v>
      </c>
    </row>
    <row r="315" spans="1:8" s="28" customFormat="1" ht="12" x14ac:dyDescent="0.2">
      <c r="A315" s="73" t="s">
        <v>358</v>
      </c>
      <c r="B315" s="12" t="s">
        <v>687</v>
      </c>
      <c r="C315" s="12" t="s">
        <v>375</v>
      </c>
      <c r="D315" s="12" t="s">
        <v>352</v>
      </c>
      <c r="E315" s="12" t="s">
        <v>359</v>
      </c>
      <c r="F315" s="98">
        <f>1170164.4+31000-59959</f>
        <v>1141205.3999999999</v>
      </c>
      <c r="G315" s="98">
        <v>1196639.8</v>
      </c>
      <c r="H315" s="98">
        <v>1223252.7</v>
      </c>
    </row>
    <row r="316" spans="1:8" s="28" customFormat="1" ht="12" x14ac:dyDescent="0.2">
      <c r="A316" s="73" t="s">
        <v>383</v>
      </c>
      <c r="B316" s="12" t="s">
        <v>687</v>
      </c>
      <c r="C316" s="12" t="s">
        <v>375</v>
      </c>
      <c r="D316" s="12" t="s">
        <v>352</v>
      </c>
      <c r="E316" s="12" t="s">
        <v>384</v>
      </c>
      <c r="F316" s="98">
        <f>48374.2+1600-2421</f>
        <v>47553.2</v>
      </c>
      <c r="G316" s="98">
        <v>44374.2</v>
      </c>
      <c r="H316" s="98">
        <v>44374.2</v>
      </c>
    </row>
    <row r="317" spans="1:8" s="28" customFormat="1" ht="12" x14ac:dyDescent="0.2">
      <c r="A317" s="129" t="s">
        <v>706</v>
      </c>
      <c r="B317" s="40" t="s">
        <v>789</v>
      </c>
      <c r="C317" s="40"/>
      <c r="D317" s="40"/>
      <c r="E317" s="40"/>
      <c r="F317" s="41">
        <f t="shared" ref="F317:H320" si="62">F318</f>
        <v>113489.8</v>
      </c>
      <c r="G317" s="41">
        <f t="shared" si="62"/>
        <v>109284.8</v>
      </c>
      <c r="H317" s="41">
        <f t="shared" si="62"/>
        <v>109284.8</v>
      </c>
    </row>
    <row r="318" spans="1:8" s="28" customFormat="1" ht="12" x14ac:dyDescent="0.2">
      <c r="A318" s="29" t="s">
        <v>374</v>
      </c>
      <c r="B318" s="30" t="s">
        <v>707</v>
      </c>
      <c r="C318" s="30" t="s">
        <v>375</v>
      </c>
      <c r="D318" s="30"/>
      <c r="E318" s="30"/>
      <c r="F318" s="31">
        <f t="shared" si="62"/>
        <v>113489.8</v>
      </c>
      <c r="G318" s="31">
        <f t="shared" si="62"/>
        <v>109284.8</v>
      </c>
      <c r="H318" s="31">
        <f t="shared" si="62"/>
        <v>109284.8</v>
      </c>
    </row>
    <row r="319" spans="1:8" s="28" customFormat="1" ht="12" x14ac:dyDescent="0.2">
      <c r="A319" s="29" t="s">
        <v>438</v>
      </c>
      <c r="B319" s="30" t="s">
        <v>707</v>
      </c>
      <c r="C319" s="30" t="s">
        <v>375</v>
      </c>
      <c r="D319" s="30" t="s">
        <v>283</v>
      </c>
      <c r="E319" s="30"/>
      <c r="F319" s="31">
        <f t="shared" si="62"/>
        <v>113489.8</v>
      </c>
      <c r="G319" s="31">
        <f t="shared" si="62"/>
        <v>109284.8</v>
      </c>
      <c r="H319" s="31">
        <f t="shared" si="62"/>
        <v>109284.8</v>
      </c>
    </row>
    <row r="320" spans="1:8" s="28" customFormat="1" ht="12" x14ac:dyDescent="0.2">
      <c r="A320" s="35" t="s">
        <v>356</v>
      </c>
      <c r="B320" s="36" t="s">
        <v>707</v>
      </c>
      <c r="C320" s="36" t="s">
        <v>375</v>
      </c>
      <c r="D320" s="36" t="s">
        <v>283</v>
      </c>
      <c r="E320" s="36" t="s">
        <v>357</v>
      </c>
      <c r="F320" s="37">
        <f>F321</f>
        <v>113489.8</v>
      </c>
      <c r="G320" s="37">
        <f t="shared" si="62"/>
        <v>109284.8</v>
      </c>
      <c r="H320" s="37">
        <f t="shared" si="62"/>
        <v>109284.8</v>
      </c>
    </row>
    <row r="321" spans="1:8" s="28" customFormat="1" ht="12" x14ac:dyDescent="0.2">
      <c r="A321" s="35" t="s">
        <v>383</v>
      </c>
      <c r="B321" s="36" t="s">
        <v>707</v>
      </c>
      <c r="C321" s="36" t="s">
        <v>375</v>
      </c>
      <c r="D321" s="36" t="s">
        <v>283</v>
      </c>
      <c r="E321" s="36" t="s">
        <v>384</v>
      </c>
      <c r="F321" s="98">
        <f>109284.8-295+500+500+3500</f>
        <v>113489.8</v>
      </c>
      <c r="G321" s="98">
        <v>109284.8</v>
      </c>
      <c r="H321" s="98">
        <v>109284.8</v>
      </c>
    </row>
    <row r="322" spans="1:8" s="28" customFormat="1" ht="24" x14ac:dyDescent="0.2">
      <c r="A322" s="39" t="s">
        <v>710</v>
      </c>
      <c r="B322" s="40" t="s">
        <v>790</v>
      </c>
      <c r="C322" s="40"/>
      <c r="D322" s="40"/>
      <c r="E322" s="40"/>
      <c r="F322" s="41">
        <f>F323+F329</f>
        <v>137431.40000000002</v>
      </c>
      <c r="G322" s="41">
        <f>G323+G329</f>
        <v>94338.400000000009</v>
      </c>
      <c r="H322" s="41">
        <f>H323+H329</f>
        <v>94338.400000000009</v>
      </c>
    </row>
    <row r="323" spans="1:8" s="28" customFormat="1" ht="12" x14ac:dyDescent="0.2">
      <c r="A323" s="29" t="s">
        <v>374</v>
      </c>
      <c r="B323" s="30" t="s">
        <v>711</v>
      </c>
      <c r="C323" s="30" t="s">
        <v>375</v>
      </c>
      <c r="D323" s="30"/>
      <c r="E323" s="30"/>
      <c r="F323" s="31">
        <f t="shared" ref="F323:H324" si="63">F324</f>
        <v>35500</v>
      </c>
      <c r="G323" s="31">
        <f t="shared" si="63"/>
        <v>4407</v>
      </c>
      <c r="H323" s="31">
        <f t="shared" si="63"/>
        <v>4407</v>
      </c>
    </row>
    <row r="324" spans="1:8" s="28" customFormat="1" ht="12" x14ac:dyDescent="0.2">
      <c r="A324" s="29" t="s">
        <v>791</v>
      </c>
      <c r="B324" s="30" t="s">
        <v>711</v>
      </c>
      <c r="C324" s="30" t="s">
        <v>375</v>
      </c>
      <c r="D324" s="30" t="s">
        <v>412</v>
      </c>
      <c r="E324" s="30"/>
      <c r="F324" s="31">
        <f t="shared" si="63"/>
        <v>35500</v>
      </c>
      <c r="G324" s="31">
        <f t="shared" si="63"/>
        <v>4407</v>
      </c>
      <c r="H324" s="31">
        <f t="shared" si="63"/>
        <v>4407</v>
      </c>
    </row>
    <row r="325" spans="1:8" s="28" customFormat="1" ht="12" x14ac:dyDescent="0.2">
      <c r="A325" s="35" t="s">
        <v>356</v>
      </c>
      <c r="B325" s="36" t="s">
        <v>711</v>
      </c>
      <c r="C325" s="36" t="s">
        <v>375</v>
      </c>
      <c r="D325" s="36" t="s">
        <v>412</v>
      </c>
      <c r="E325" s="36" t="s">
        <v>357</v>
      </c>
      <c r="F325" s="37">
        <f>F326+F327</f>
        <v>35500</v>
      </c>
      <c r="G325" s="37">
        <f>G326+G327</f>
        <v>4407</v>
      </c>
      <c r="H325" s="37">
        <f>H326+H327</f>
        <v>4407</v>
      </c>
    </row>
    <row r="326" spans="1:8" s="28" customFormat="1" ht="12" x14ac:dyDescent="0.2">
      <c r="A326" s="35" t="s">
        <v>358</v>
      </c>
      <c r="B326" s="36" t="s">
        <v>711</v>
      </c>
      <c r="C326" s="36" t="s">
        <v>375</v>
      </c>
      <c r="D326" s="36" t="s">
        <v>412</v>
      </c>
      <c r="E326" s="36" t="s">
        <v>359</v>
      </c>
      <c r="F326" s="98">
        <f>4382.5+5593+37000-22000+6000</f>
        <v>30975.5</v>
      </c>
      <c r="G326" s="98">
        <v>4382.5</v>
      </c>
      <c r="H326" s="98">
        <v>4382.5</v>
      </c>
    </row>
    <row r="327" spans="1:8" s="28" customFormat="1" ht="12" x14ac:dyDescent="0.2">
      <c r="A327" s="35" t="s">
        <v>383</v>
      </c>
      <c r="B327" s="36" t="s">
        <v>711</v>
      </c>
      <c r="C327" s="36" t="s">
        <v>375</v>
      </c>
      <c r="D327" s="36" t="s">
        <v>412</v>
      </c>
      <c r="E327" s="36" t="s">
        <v>384</v>
      </c>
      <c r="F327" s="98">
        <f>24.5+500+4000</f>
        <v>4524.5</v>
      </c>
      <c r="G327" s="98">
        <v>24.5</v>
      </c>
      <c r="H327" s="98">
        <v>24.5</v>
      </c>
    </row>
    <row r="328" spans="1:8" s="28" customFormat="1" ht="12" x14ac:dyDescent="0.2">
      <c r="A328" s="39" t="s">
        <v>712</v>
      </c>
      <c r="B328" s="40" t="s">
        <v>792</v>
      </c>
      <c r="C328" s="49"/>
      <c r="D328" s="49"/>
      <c r="E328" s="40"/>
      <c r="F328" s="41">
        <f t="shared" ref="F328:H330" si="64">F329</f>
        <v>101931.40000000001</v>
      </c>
      <c r="G328" s="41">
        <f t="shared" si="64"/>
        <v>89931.400000000009</v>
      </c>
      <c r="H328" s="41">
        <f t="shared" si="64"/>
        <v>89931.400000000009</v>
      </c>
    </row>
    <row r="329" spans="1:8" s="28" customFormat="1" ht="12" x14ac:dyDescent="0.2">
      <c r="A329" s="29" t="s">
        <v>374</v>
      </c>
      <c r="B329" s="30" t="s">
        <v>713</v>
      </c>
      <c r="C329" s="30" t="s">
        <v>375</v>
      </c>
      <c r="D329" s="30"/>
      <c r="E329" s="30"/>
      <c r="F329" s="31">
        <f t="shared" si="64"/>
        <v>101931.40000000001</v>
      </c>
      <c r="G329" s="31">
        <f t="shared" si="64"/>
        <v>89931.400000000009</v>
      </c>
      <c r="H329" s="31">
        <f t="shared" si="64"/>
        <v>89931.400000000009</v>
      </c>
    </row>
    <row r="330" spans="1:8" s="28" customFormat="1" ht="12" x14ac:dyDescent="0.2">
      <c r="A330" s="29" t="s">
        <v>791</v>
      </c>
      <c r="B330" s="30" t="s">
        <v>713</v>
      </c>
      <c r="C330" s="30" t="s">
        <v>375</v>
      </c>
      <c r="D330" s="30" t="s">
        <v>412</v>
      </c>
      <c r="E330" s="30"/>
      <c r="F330" s="31">
        <f t="shared" si="64"/>
        <v>101931.40000000001</v>
      </c>
      <c r="G330" s="31">
        <f t="shared" si="64"/>
        <v>89931.400000000009</v>
      </c>
      <c r="H330" s="31">
        <f t="shared" si="64"/>
        <v>89931.400000000009</v>
      </c>
    </row>
    <row r="331" spans="1:8" s="28" customFormat="1" ht="12" x14ac:dyDescent="0.2">
      <c r="A331" s="35" t="s">
        <v>356</v>
      </c>
      <c r="B331" s="36" t="s">
        <v>713</v>
      </c>
      <c r="C331" s="36" t="s">
        <v>375</v>
      </c>
      <c r="D331" s="36" t="s">
        <v>412</v>
      </c>
      <c r="E331" s="36" t="s">
        <v>357</v>
      </c>
      <c r="F331" s="37">
        <f>F332+F333</f>
        <v>101931.40000000001</v>
      </c>
      <c r="G331" s="37">
        <f>G332+G333</f>
        <v>89931.400000000009</v>
      </c>
      <c r="H331" s="37">
        <f>H332+H333</f>
        <v>89931.400000000009</v>
      </c>
    </row>
    <row r="332" spans="1:8" s="28" customFormat="1" ht="12" x14ac:dyDescent="0.2">
      <c r="A332" s="35" t="s">
        <v>358</v>
      </c>
      <c r="B332" s="36" t="s">
        <v>713</v>
      </c>
      <c r="C332" s="36" t="s">
        <v>375</v>
      </c>
      <c r="D332" s="36" t="s">
        <v>412</v>
      </c>
      <c r="E332" s="36" t="s">
        <v>359</v>
      </c>
      <c r="F332" s="98">
        <f>81596.6+10000+1475.098</f>
        <v>93071.698000000004</v>
      </c>
      <c r="G332" s="98">
        <v>81596.600000000006</v>
      </c>
      <c r="H332" s="98">
        <v>81596.600000000006</v>
      </c>
    </row>
    <row r="333" spans="1:8" s="28" customFormat="1" ht="12" x14ac:dyDescent="0.2">
      <c r="A333" s="35" t="s">
        <v>383</v>
      </c>
      <c r="B333" s="36" t="s">
        <v>713</v>
      </c>
      <c r="C333" s="36" t="s">
        <v>375</v>
      </c>
      <c r="D333" s="36" t="s">
        <v>412</v>
      </c>
      <c r="E333" s="36" t="s">
        <v>384</v>
      </c>
      <c r="F333" s="98">
        <f>8334.8+524.902</f>
        <v>8859.7019999999993</v>
      </c>
      <c r="G333" s="98">
        <v>8334.7999999999993</v>
      </c>
      <c r="H333" s="98">
        <v>8334.7999999999993</v>
      </c>
    </row>
    <row r="334" spans="1:8" s="28" customFormat="1" ht="24" x14ac:dyDescent="0.2">
      <c r="A334" s="129" t="s">
        <v>708</v>
      </c>
      <c r="B334" s="40" t="s">
        <v>793</v>
      </c>
      <c r="C334" s="36"/>
      <c r="D334" s="36"/>
      <c r="E334" s="36"/>
      <c r="F334" s="41">
        <f t="shared" ref="F334:H337" si="65">F335</f>
        <v>1031.2</v>
      </c>
      <c r="G334" s="41">
        <f t="shared" si="65"/>
        <v>0</v>
      </c>
      <c r="H334" s="41">
        <f t="shared" si="65"/>
        <v>0</v>
      </c>
    </row>
    <row r="335" spans="1:8" s="28" customFormat="1" ht="12" x14ac:dyDescent="0.2">
      <c r="A335" s="50" t="s">
        <v>374</v>
      </c>
      <c r="B335" s="74" t="s">
        <v>709</v>
      </c>
      <c r="C335" s="30" t="s">
        <v>375</v>
      </c>
      <c r="D335" s="30"/>
      <c r="E335" s="36"/>
      <c r="F335" s="31">
        <f t="shared" si="65"/>
        <v>1031.2</v>
      </c>
      <c r="G335" s="31">
        <f t="shared" si="65"/>
        <v>0</v>
      </c>
      <c r="H335" s="31">
        <f t="shared" si="65"/>
        <v>0</v>
      </c>
    </row>
    <row r="336" spans="1:8" s="28" customFormat="1" ht="12" x14ac:dyDescent="0.2">
      <c r="A336" s="50" t="s">
        <v>376</v>
      </c>
      <c r="B336" s="74" t="s">
        <v>709</v>
      </c>
      <c r="C336" s="30" t="s">
        <v>375</v>
      </c>
      <c r="D336" s="30" t="s">
        <v>375</v>
      </c>
      <c r="E336" s="36"/>
      <c r="F336" s="31">
        <f t="shared" si="65"/>
        <v>1031.2</v>
      </c>
      <c r="G336" s="31">
        <f t="shared" si="65"/>
        <v>0</v>
      </c>
      <c r="H336" s="31">
        <f t="shared" si="65"/>
        <v>0</v>
      </c>
    </row>
    <row r="337" spans="1:8" s="28" customFormat="1" ht="12" x14ac:dyDescent="0.2">
      <c r="A337" s="73" t="s">
        <v>356</v>
      </c>
      <c r="B337" s="12" t="s">
        <v>709</v>
      </c>
      <c r="C337" s="36" t="s">
        <v>375</v>
      </c>
      <c r="D337" s="36" t="s">
        <v>375</v>
      </c>
      <c r="E337" s="36" t="s">
        <v>357</v>
      </c>
      <c r="F337" s="37">
        <f>F338</f>
        <v>1031.2</v>
      </c>
      <c r="G337" s="37">
        <f t="shared" si="65"/>
        <v>0</v>
      </c>
      <c r="H337" s="37">
        <f t="shared" si="65"/>
        <v>0</v>
      </c>
    </row>
    <row r="338" spans="1:8" s="28" customFormat="1" ht="12" x14ac:dyDescent="0.2">
      <c r="A338" s="73" t="s">
        <v>358</v>
      </c>
      <c r="B338" s="12" t="s">
        <v>709</v>
      </c>
      <c r="C338" s="36" t="s">
        <v>375</v>
      </c>
      <c r="D338" s="36" t="s">
        <v>375</v>
      </c>
      <c r="E338" s="36" t="s">
        <v>359</v>
      </c>
      <c r="F338" s="98">
        <v>1031.2</v>
      </c>
      <c r="G338" s="115">
        <v>0</v>
      </c>
      <c r="H338" s="115">
        <v>0</v>
      </c>
    </row>
    <row r="339" spans="1:8" s="28" customFormat="1" ht="24" x14ac:dyDescent="0.2">
      <c r="A339" s="39" t="s">
        <v>688</v>
      </c>
      <c r="B339" s="40" t="s">
        <v>689</v>
      </c>
      <c r="C339" s="40"/>
      <c r="D339" s="40"/>
      <c r="E339" s="40"/>
      <c r="F339" s="41">
        <f>F340</f>
        <v>99603</v>
      </c>
      <c r="G339" s="41">
        <f t="shared" ref="G339:H341" si="66">G340</f>
        <v>99603</v>
      </c>
      <c r="H339" s="41">
        <f t="shared" si="66"/>
        <v>99603</v>
      </c>
    </row>
    <row r="340" spans="1:8" s="28" customFormat="1" ht="12" x14ac:dyDescent="0.2">
      <c r="A340" s="29" t="s">
        <v>374</v>
      </c>
      <c r="B340" s="30" t="s">
        <v>689</v>
      </c>
      <c r="C340" s="30" t="s">
        <v>375</v>
      </c>
      <c r="D340" s="30"/>
      <c r="E340" s="30"/>
      <c r="F340" s="31">
        <f>F341</f>
        <v>99603</v>
      </c>
      <c r="G340" s="31">
        <f t="shared" si="66"/>
        <v>99603</v>
      </c>
      <c r="H340" s="31">
        <f t="shared" si="66"/>
        <v>99603</v>
      </c>
    </row>
    <row r="341" spans="1:8" s="28" customFormat="1" ht="12" x14ac:dyDescent="0.2">
      <c r="A341" s="29" t="s">
        <v>682</v>
      </c>
      <c r="B341" s="30" t="s">
        <v>689</v>
      </c>
      <c r="C341" s="30" t="s">
        <v>375</v>
      </c>
      <c r="D341" s="30" t="s">
        <v>352</v>
      </c>
      <c r="E341" s="30"/>
      <c r="F341" s="31">
        <f>F342</f>
        <v>99603</v>
      </c>
      <c r="G341" s="31">
        <f t="shared" si="66"/>
        <v>99603</v>
      </c>
      <c r="H341" s="31">
        <f t="shared" si="66"/>
        <v>99603</v>
      </c>
    </row>
    <row r="342" spans="1:8" s="136" customFormat="1" ht="12" x14ac:dyDescent="0.2">
      <c r="A342" s="35" t="s">
        <v>356</v>
      </c>
      <c r="B342" s="36" t="s">
        <v>689</v>
      </c>
      <c r="C342" s="36" t="s">
        <v>375</v>
      </c>
      <c r="D342" s="36" t="s">
        <v>352</v>
      </c>
      <c r="E342" s="36" t="s">
        <v>357</v>
      </c>
      <c r="F342" s="37">
        <f>F343+F344</f>
        <v>99603</v>
      </c>
      <c r="G342" s="37">
        <f>G343+G344</f>
        <v>99603</v>
      </c>
      <c r="H342" s="37">
        <f>H343+H344</f>
        <v>99603</v>
      </c>
    </row>
    <row r="343" spans="1:8" s="128" customFormat="1" ht="12" x14ac:dyDescent="0.2">
      <c r="A343" s="35" t="s">
        <v>358</v>
      </c>
      <c r="B343" s="36" t="s">
        <v>689</v>
      </c>
      <c r="C343" s="36" t="s">
        <v>375</v>
      </c>
      <c r="D343" s="36" t="s">
        <v>352</v>
      </c>
      <c r="E343" s="36" t="s">
        <v>359</v>
      </c>
      <c r="F343" s="98">
        <v>96165.7</v>
      </c>
      <c r="G343" s="98">
        <v>96165.7</v>
      </c>
      <c r="H343" s="98">
        <v>96165.7</v>
      </c>
    </row>
    <row r="344" spans="1:8" s="128" customFormat="1" ht="12" x14ac:dyDescent="0.2">
      <c r="A344" s="35" t="s">
        <v>383</v>
      </c>
      <c r="B344" s="36" t="s">
        <v>689</v>
      </c>
      <c r="C344" s="36" t="s">
        <v>375</v>
      </c>
      <c r="D344" s="36" t="s">
        <v>352</v>
      </c>
      <c r="E344" s="36" t="s">
        <v>384</v>
      </c>
      <c r="F344" s="98">
        <v>3437.3</v>
      </c>
      <c r="G344" s="98">
        <v>3437.3</v>
      </c>
      <c r="H344" s="98">
        <v>3437.3</v>
      </c>
    </row>
    <row r="345" spans="1:8" s="136" customFormat="1" ht="24" x14ac:dyDescent="0.2">
      <c r="A345" s="39" t="s">
        <v>690</v>
      </c>
      <c r="B345" s="40" t="s">
        <v>691</v>
      </c>
      <c r="C345" s="40"/>
      <c r="D345" s="40"/>
      <c r="E345" s="40"/>
      <c r="F345" s="41">
        <f>F346</f>
        <v>185993.9412</v>
      </c>
      <c r="G345" s="41">
        <f t="shared" ref="G345:H347" si="67">G346</f>
        <v>174834.304</v>
      </c>
      <c r="H345" s="41">
        <f t="shared" si="67"/>
        <v>169729.652</v>
      </c>
    </row>
    <row r="346" spans="1:8" s="136" customFormat="1" ht="12" x14ac:dyDescent="0.2">
      <c r="A346" s="29" t="s">
        <v>374</v>
      </c>
      <c r="B346" s="30" t="s">
        <v>691</v>
      </c>
      <c r="C346" s="30" t="s">
        <v>375</v>
      </c>
      <c r="D346" s="30"/>
      <c r="E346" s="30"/>
      <c r="F346" s="31">
        <f>F347</f>
        <v>185993.9412</v>
      </c>
      <c r="G346" s="31">
        <f t="shared" si="67"/>
        <v>174834.304</v>
      </c>
      <c r="H346" s="31">
        <f t="shared" si="67"/>
        <v>169729.652</v>
      </c>
    </row>
    <row r="347" spans="1:8" s="136" customFormat="1" ht="12" x14ac:dyDescent="0.2">
      <c r="A347" s="29" t="s">
        <v>682</v>
      </c>
      <c r="B347" s="30" t="s">
        <v>691</v>
      </c>
      <c r="C347" s="30" t="s">
        <v>375</v>
      </c>
      <c r="D347" s="30" t="s">
        <v>352</v>
      </c>
      <c r="E347" s="30"/>
      <c r="F347" s="31">
        <f>F348</f>
        <v>185993.9412</v>
      </c>
      <c r="G347" s="31">
        <f t="shared" si="67"/>
        <v>174834.304</v>
      </c>
      <c r="H347" s="31">
        <f t="shared" si="67"/>
        <v>169729.652</v>
      </c>
    </row>
    <row r="348" spans="1:8" s="28" customFormat="1" ht="12" x14ac:dyDescent="0.2">
      <c r="A348" s="35" t="s">
        <v>356</v>
      </c>
      <c r="B348" s="36" t="s">
        <v>691</v>
      </c>
      <c r="C348" s="36" t="s">
        <v>375</v>
      </c>
      <c r="D348" s="36" t="s">
        <v>352</v>
      </c>
      <c r="E348" s="36" t="s">
        <v>357</v>
      </c>
      <c r="F348" s="37">
        <f>F349+F350</f>
        <v>185993.9412</v>
      </c>
      <c r="G348" s="37">
        <f>G349+G350</f>
        <v>174834.304</v>
      </c>
      <c r="H348" s="37">
        <f>H349+H350</f>
        <v>169729.652</v>
      </c>
    </row>
    <row r="349" spans="1:8" s="28" customFormat="1" ht="12" x14ac:dyDescent="0.2">
      <c r="A349" s="35" t="s">
        <v>358</v>
      </c>
      <c r="B349" s="36" t="s">
        <v>691</v>
      </c>
      <c r="C349" s="36" t="s">
        <v>375</v>
      </c>
      <c r="D349" s="36" t="s">
        <v>352</v>
      </c>
      <c r="E349" s="36" t="s">
        <v>359</v>
      </c>
      <c r="F349" s="98">
        <f>169009.304+8108.891+0.0012</f>
        <v>177118.19620000001</v>
      </c>
      <c r="G349" s="98">
        <v>169009.304</v>
      </c>
      <c r="H349" s="98">
        <v>163904.652</v>
      </c>
    </row>
    <row r="350" spans="1:8" s="28" customFormat="1" ht="12" x14ac:dyDescent="0.2">
      <c r="A350" s="35" t="s">
        <v>383</v>
      </c>
      <c r="B350" s="36" t="s">
        <v>691</v>
      </c>
      <c r="C350" s="36" t="s">
        <v>375</v>
      </c>
      <c r="D350" s="36" t="s">
        <v>352</v>
      </c>
      <c r="E350" s="36" t="s">
        <v>384</v>
      </c>
      <c r="F350" s="98">
        <f>5825+3050.745</f>
        <v>8875.744999999999</v>
      </c>
      <c r="G350" s="98">
        <v>5825</v>
      </c>
      <c r="H350" s="98">
        <v>5825</v>
      </c>
    </row>
    <row r="351" spans="1:8" s="28" customFormat="1" ht="29.25" customHeight="1" x14ac:dyDescent="0.2">
      <c r="A351" s="39" t="s">
        <v>692</v>
      </c>
      <c r="B351" s="40" t="s">
        <v>693</v>
      </c>
      <c r="C351" s="40"/>
      <c r="D351" s="40"/>
      <c r="E351" s="36"/>
      <c r="F351" s="41">
        <f>F352</f>
        <v>35907.192490000001</v>
      </c>
      <c r="G351" s="47">
        <f t="shared" ref="G351:H353" si="68">G352</f>
        <v>0</v>
      </c>
      <c r="H351" s="47">
        <f t="shared" si="68"/>
        <v>0</v>
      </c>
    </row>
    <row r="352" spans="1:8" s="28" customFormat="1" ht="12" x14ac:dyDescent="0.2">
      <c r="A352" s="29" t="s">
        <v>374</v>
      </c>
      <c r="B352" s="30" t="s">
        <v>693</v>
      </c>
      <c r="C352" s="30" t="s">
        <v>375</v>
      </c>
      <c r="D352" s="30"/>
      <c r="E352" s="36"/>
      <c r="F352" s="31">
        <f>F353</f>
        <v>35907.192490000001</v>
      </c>
      <c r="G352" s="45">
        <f t="shared" si="68"/>
        <v>0</v>
      </c>
      <c r="H352" s="45">
        <f t="shared" si="68"/>
        <v>0</v>
      </c>
    </row>
    <row r="353" spans="1:8" s="28" customFormat="1" ht="12" x14ac:dyDescent="0.2">
      <c r="A353" s="29" t="s">
        <v>682</v>
      </c>
      <c r="B353" s="30" t="s">
        <v>693</v>
      </c>
      <c r="C353" s="30" t="s">
        <v>375</v>
      </c>
      <c r="D353" s="30" t="s">
        <v>352</v>
      </c>
      <c r="E353" s="36"/>
      <c r="F353" s="31">
        <f>F354</f>
        <v>35907.192490000001</v>
      </c>
      <c r="G353" s="45">
        <f t="shared" si="68"/>
        <v>0</v>
      </c>
      <c r="H353" s="45">
        <f t="shared" si="68"/>
        <v>0</v>
      </c>
    </row>
    <row r="354" spans="1:8" s="28" customFormat="1" ht="12" x14ac:dyDescent="0.2">
      <c r="A354" s="35" t="s">
        <v>356</v>
      </c>
      <c r="B354" s="36" t="s">
        <v>693</v>
      </c>
      <c r="C354" s="36" t="s">
        <v>375</v>
      </c>
      <c r="D354" s="36" t="s">
        <v>352</v>
      </c>
      <c r="E354" s="36" t="s">
        <v>357</v>
      </c>
      <c r="F354" s="37">
        <f>F355+F356</f>
        <v>35907.192490000001</v>
      </c>
      <c r="G354" s="46">
        <f>G355+G356</f>
        <v>0</v>
      </c>
      <c r="H354" s="46">
        <f>H355+H356</f>
        <v>0</v>
      </c>
    </row>
    <row r="355" spans="1:8" s="28" customFormat="1" ht="12" x14ac:dyDescent="0.2">
      <c r="A355" s="35" t="s">
        <v>358</v>
      </c>
      <c r="B355" s="36" t="s">
        <v>693</v>
      </c>
      <c r="C355" s="36" t="s">
        <v>375</v>
      </c>
      <c r="D355" s="36" t="s">
        <v>352</v>
      </c>
      <c r="E355" s="36" t="s">
        <v>359</v>
      </c>
      <c r="F355" s="98">
        <f>30387-11492.80751+15800</f>
        <v>34694.192490000001</v>
      </c>
      <c r="G355" s="115">
        <v>0</v>
      </c>
      <c r="H355" s="115">
        <v>0</v>
      </c>
    </row>
    <row r="356" spans="1:8" s="28" customFormat="1" ht="12" x14ac:dyDescent="0.2">
      <c r="A356" s="35" t="s">
        <v>383</v>
      </c>
      <c r="B356" s="36" t="s">
        <v>693</v>
      </c>
      <c r="C356" s="36" t="s">
        <v>375</v>
      </c>
      <c r="D356" s="36" t="s">
        <v>352</v>
      </c>
      <c r="E356" s="36" t="s">
        <v>384</v>
      </c>
      <c r="F356" s="98">
        <v>1213</v>
      </c>
      <c r="G356" s="115">
        <v>0</v>
      </c>
      <c r="H356" s="115">
        <v>0</v>
      </c>
    </row>
    <row r="357" spans="1:8" s="28" customFormat="1" ht="24" x14ac:dyDescent="0.2">
      <c r="A357" s="39" t="s">
        <v>694</v>
      </c>
      <c r="B357" s="40" t="s">
        <v>696</v>
      </c>
      <c r="C357" s="40"/>
      <c r="D357" s="40"/>
      <c r="E357" s="36"/>
      <c r="F357" s="47">
        <f t="shared" ref="F357:G359" si="69">F358</f>
        <v>2114.6469999999999</v>
      </c>
      <c r="G357" s="47">
        <f t="shared" si="69"/>
        <v>8164.6</v>
      </c>
      <c r="H357" s="47">
        <f>H358</f>
        <v>8164.6</v>
      </c>
    </row>
    <row r="358" spans="1:8" s="28" customFormat="1" ht="12" x14ac:dyDescent="0.2">
      <c r="A358" s="29" t="s">
        <v>374</v>
      </c>
      <c r="B358" s="30" t="s">
        <v>696</v>
      </c>
      <c r="C358" s="30" t="s">
        <v>375</v>
      </c>
      <c r="D358" s="30"/>
      <c r="E358" s="30"/>
      <c r="F358" s="45">
        <f t="shared" si="69"/>
        <v>2114.6469999999999</v>
      </c>
      <c r="G358" s="45">
        <f t="shared" si="69"/>
        <v>8164.6</v>
      </c>
      <c r="H358" s="45">
        <f>H359</f>
        <v>8164.6</v>
      </c>
    </row>
    <row r="359" spans="1:8" s="28" customFormat="1" ht="12" x14ac:dyDescent="0.2">
      <c r="A359" s="29" t="s">
        <v>682</v>
      </c>
      <c r="B359" s="30" t="s">
        <v>696</v>
      </c>
      <c r="C359" s="30" t="s">
        <v>375</v>
      </c>
      <c r="D359" s="30" t="s">
        <v>352</v>
      </c>
      <c r="E359" s="30"/>
      <c r="F359" s="45">
        <f t="shared" si="69"/>
        <v>2114.6469999999999</v>
      </c>
      <c r="G359" s="45">
        <f t="shared" si="69"/>
        <v>8164.6</v>
      </c>
      <c r="H359" s="45">
        <f>H360</f>
        <v>8164.6</v>
      </c>
    </row>
    <row r="360" spans="1:8" s="28" customFormat="1" ht="12" x14ac:dyDescent="0.2">
      <c r="A360" s="35" t="s">
        <v>356</v>
      </c>
      <c r="B360" s="36" t="s">
        <v>696</v>
      </c>
      <c r="C360" s="36" t="s">
        <v>375</v>
      </c>
      <c r="D360" s="36" t="s">
        <v>352</v>
      </c>
      <c r="E360" s="36" t="s">
        <v>357</v>
      </c>
      <c r="F360" s="46">
        <f>F361+F362</f>
        <v>2114.6469999999999</v>
      </c>
      <c r="G360" s="46">
        <f>G361+G362</f>
        <v>8164.6</v>
      </c>
      <c r="H360" s="46">
        <f>H361+H362</f>
        <v>8164.6</v>
      </c>
    </row>
    <row r="361" spans="1:8" s="28" customFormat="1" ht="12" x14ac:dyDescent="0.2">
      <c r="A361" s="35" t="s">
        <v>358</v>
      </c>
      <c r="B361" s="36" t="s">
        <v>696</v>
      </c>
      <c r="C361" s="36" t="s">
        <v>375</v>
      </c>
      <c r="D361" s="36" t="s">
        <v>352</v>
      </c>
      <c r="E361" s="36" t="s">
        <v>359</v>
      </c>
      <c r="F361" s="46">
        <v>1673.5</v>
      </c>
      <c r="G361" s="46">
        <v>7744.6</v>
      </c>
      <c r="H361" s="46">
        <v>7744.6</v>
      </c>
    </row>
    <row r="362" spans="1:8" s="28" customFormat="1" ht="12" x14ac:dyDescent="0.2">
      <c r="A362" s="35" t="s">
        <v>383</v>
      </c>
      <c r="B362" s="36" t="s">
        <v>696</v>
      </c>
      <c r="C362" s="36" t="s">
        <v>375</v>
      </c>
      <c r="D362" s="36" t="s">
        <v>352</v>
      </c>
      <c r="E362" s="36" t="s">
        <v>384</v>
      </c>
      <c r="F362" s="46">
        <f>420+21.147</f>
        <v>441.14699999999999</v>
      </c>
      <c r="G362" s="46">
        <v>420</v>
      </c>
      <c r="H362" s="46">
        <v>420</v>
      </c>
    </row>
    <row r="363" spans="1:8" s="28" customFormat="1" ht="36" x14ac:dyDescent="0.2">
      <c r="A363" s="129" t="s">
        <v>697</v>
      </c>
      <c r="B363" s="83" t="s">
        <v>698</v>
      </c>
      <c r="C363" s="83"/>
      <c r="D363" s="83"/>
      <c r="E363" s="12"/>
      <c r="F363" s="145">
        <f t="shared" ref="F363:H365" si="70">F364</f>
        <v>1594</v>
      </c>
      <c r="G363" s="145">
        <f t="shared" si="70"/>
        <v>0</v>
      </c>
      <c r="H363" s="145">
        <f t="shared" si="70"/>
        <v>0</v>
      </c>
    </row>
    <row r="364" spans="1:8" s="28" customFormat="1" ht="12" x14ac:dyDescent="0.2">
      <c r="A364" s="75" t="s">
        <v>374</v>
      </c>
      <c r="B364" s="74" t="s">
        <v>698</v>
      </c>
      <c r="C364" s="74" t="s">
        <v>375</v>
      </c>
      <c r="D364" s="74"/>
      <c r="E364" s="74"/>
      <c r="F364" s="127">
        <f t="shared" si="70"/>
        <v>1594</v>
      </c>
      <c r="G364" s="127">
        <f t="shared" si="70"/>
        <v>0</v>
      </c>
      <c r="H364" s="127">
        <f t="shared" si="70"/>
        <v>0</v>
      </c>
    </row>
    <row r="365" spans="1:8" s="28" customFormat="1" ht="12" x14ac:dyDescent="0.2">
      <c r="A365" s="75" t="s">
        <v>682</v>
      </c>
      <c r="B365" s="74" t="s">
        <v>698</v>
      </c>
      <c r="C365" s="74" t="s">
        <v>375</v>
      </c>
      <c r="D365" s="74" t="s">
        <v>352</v>
      </c>
      <c r="E365" s="74"/>
      <c r="F365" s="127">
        <f t="shared" si="70"/>
        <v>1594</v>
      </c>
      <c r="G365" s="127">
        <f t="shared" si="70"/>
        <v>0</v>
      </c>
      <c r="H365" s="127">
        <f t="shared" si="70"/>
        <v>0</v>
      </c>
    </row>
    <row r="366" spans="1:8" s="28" customFormat="1" ht="12" x14ac:dyDescent="0.2">
      <c r="A366" s="73" t="s">
        <v>356</v>
      </c>
      <c r="B366" s="12" t="s">
        <v>698</v>
      </c>
      <c r="C366" s="12" t="s">
        <v>375</v>
      </c>
      <c r="D366" s="12" t="s">
        <v>352</v>
      </c>
      <c r="E366" s="12" t="s">
        <v>357</v>
      </c>
      <c r="F366" s="115">
        <f>F367+F368</f>
        <v>1594</v>
      </c>
      <c r="G366" s="115">
        <f>G367+G368</f>
        <v>0</v>
      </c>
      <c r="H366" s="115">
        <f>H367+H368</f>
        <v>0</v>
      </c>
    </row>
    <row r="367" spans="1:8" s="28" customFormat="1" ht="12" x14ac:dyDescent="0.2">
      <c r="A367" s="73" t="s">
        <v>358</v>
      </c>
      <c r="B367" s="12" t="s">
        <v>698</v>
      </c>
      <c r="C367" s="12" t="s">
        <v>375</v>
      </c>
      <c r="D367" s="12" t="s">
        <v>352</v>
      </c>
      <c r="E367" s="12" t="s">
        <v>359</v>
      </c>
      <c r="F367" s="115">
        <f>1500-44.824</f>
        <v>1455.1759999999999</v>
      </c>
      <c r="G367" s="115">
        <f>G368</f>
        <v>0</v>
      </c>
      <c r="H367" s="115">
        <f>H368</f>
        <v>0</v>
      </c>
    </row>
    <row r="368" spans="1:8" s="28" customFormat="1" ht="12" x14ac:dyDescent="0.2">
      <c r="A368" s="73" t="s">
        <v>383</v>
      </c>
      <c r="B368" s="12" t="s">
        <v>698</v>
      </c>
      <c r="C368" s="12" t="s">
        <v>375</v>
      </c>
      <c r="D368" s="12" t="s">
        <v>352</v>
      </c>
      <c r="E368" s="12" t="s">
        <v>384</v>
      </c>
      <c r="F368" s="115">
        <f>94+44.824</f>
        <v>138.82400000000001</v>
      </c>
      <c r="G368" s="115">
        <v>0</v>
      </c>
      <c r="H368" s="115">
        <v>0</v>
      </c>
    </row>
    <row r="369" spans="1:8" s="28" customFormat="1" ht="24" x14ac:dyDescent="0.2">
      <c r="A369" s="129" t="s">
        <v>699</v>
      </c>
      <c r="B369" s="83" t="s">
        <v>700</v>
      </c>
      <c r="C369" s="91"/>
      <c r="D369" s="91"/>
      <c r="E369" s="91"/>
      <c r="F369" s="145">
        <f>F370</f>
        <v>7600</v>
      </c>
      <c r="G369" s="145">
        <f t="shared" ref="G369:G371" si="71">G370</f>
        <v>0</v>
      </c>
      <c r="H369" s="145">
        <f>H372</f>
        <v>0</v>
      </c>
    </row>
    <row r="370" spans="1:8" s="28" customFormat="1" ht="12" x14ac:dyDescent="0.2">
      <c r="A370" s="75" t="s">
        <v>374</v>
      </c>
      <c r="B370" s="74" t="s">
        <v>700</v>
      </c>
      <c r="C370" s="74" t="s">
        <v>375</v>
      </c>
      <c r="D370" s="12"/>
      <c r="E370" s="12"/>
      <c r="F370" s="127">
        <f>F371</f>
        <v>7600</v>
      </c>
      <c r="G370" s="127">
        <f t="shared" si="71"/>
        <v>0</v>
      </c>
      <c r="H370" s="127">
        <f>H371</f>
        <v>0</v>
      </c>
    </row>
    <row r="371" spans="1:8" s="28" customFormat="1" ht="12" x14ac:dyDescent="0.2">
      <c r="A371" s="75" t="s">
        <v>682</v>
      </c>
      <c r="B371" s="74" t="s">
        <v>700</v>
      </c>
      <c r="C371" s="74" t="s">
        <v>375</v>
      </c>
      <c r="D371" s="74" t="s">
        <v>352</v>
      </c>
      <c r="E371" s="12"/>
      <c r="F371" s="127">
        <f>F372</f>
        <v>7600</v>
      </c>
      <c r="G371" s="127">
        <f t="shared" si="71"/>
        <v>0</v>
      </c>
      <c r="H371" s="127">
        <f>H372</f>
        <v>0</v>
      </c>
    </row>
    <row r="372" spans="1:8" s="28" customFormat="1" ht="12" x14ac:dyDescent="0.2">
      <c r="A372" s="73" t="s">
        <v>356</v>
      </c>
      <c r="B372" s="12" t="s">
        <v>700</v>
      </c>
      <c r="C372" s="12" t="s">
        <v>375</v>
      </c>
      <c r="D372" s="12" t="s">
        <v>352</v>
      </c>
      <c r="E372" s="12" t="s">
        <v>357</v>
      </c>
      <c r="F372" s="115">
        <f>F373+F374</f>
        <v>7600</v>
      </c>
      <c r="G372" s="115">
        <f>G373</f>
        <v>0</v>
      </c>
      <c r="H372" s="115">
        <f>H373</f>
        <v>0</v>
      </c>
    </row>
    <row r="373" spans="1:8" s="28" customFormat="1" ht="15.75" customHeight="1" x14ac:dyDescent="0.2">
      <c r="A373" s="73" t="s">
        <v>358</v>
      </c>
      <c r="B373" s="12" t="s">
        <v>700</v>
      </c>
      <c r="C373" s="12" t="s">
        <v>375</v>
      </c>
      <c r="D373" s="12" t="s">
        <v>352</v>
      </c>
      <c r="E373" s="12" t="s">
        <v>359</v>
      </c>
      <c r="F373" s="115">
        <v>6600</v>
      </c>
      <c r="G373" s="115">
        <v>0</v>
      </c>
      <c r="H373" s="115">
        <v>0</v>
      </c>
    </row>
    <row r="374" spans="1:8" s="28" customFormat="1" ht="12" x14ac:dyDescent="0.2">
      <c r="A374" s="73" t="s">
        <v>383</v>
      </c>
      <c r="B374" s="12" t="s">
        <v>700</v>
      </c>
      <c r="C374" s="12" t="s">
        <v>375</v>
      </c>
      <c r="D374" s="12" t="s">
        <v>352</v>
      </c>
      <c r="E374" s="12" t="s">
        <v>384</v>
      </c>
      <c r="F374" s="115">
        <v>1000</v>
      </c>
      <c r="G374" s="115">
        <v>0</v>
      </c>
      <c r="H374" s="115">
        <v>0</v>
      </c>
    </row>
    <row r="375" spans="1:8" s="28" customFormat="1" ht="12" x14ac:dyDescent="0.2">
      <c r="A375" s="75" t="s">
        <v>714</v>
      </c>
      <c r="B375" s="74" t="s">
        <v>715</v>
      </c>
      <c r="C375" s="74"/>
      <c r="D375" s="74"/>
      <c r="E375" s="74"/>
      <c r="F375" s="100">
        <f>F376+F386+F393</f>
        <v>8598.2870000000003</v>
      </c>
      <c r="G375" s="100">
        <f>G376+G386+G393</f>
        <v>7709.8</v>
      </c>
      <c r="H375" s="100">
        <f>H376+H386+H393</f>
        <v>7709.8</v>
      </c>
    </row>
    <row r="376" spans="1:8" s="28" customFormat="1" ht="15.75" customHeight="1" x14ac:dyDescent="0.2">
      <c r="A376" s="148" t="s">
        <v>716</v>
      </c>
      <c r="B376" s="30" t="s">
        <v>717</v>
      </c>
      <c r="C376" s="30"/>
      <c r="D376" s="30"/>
      <c r="E376" s="40"/>
      <c r="F376" s="100">
        <f t="shared" ref="F376:H378" si="72">F377</f>
        <v>5948.2870000000003</v>
      </c>
      <c r="G376" s="100">
        <f t="shared" si="72"/>
        <v>5279.8</v>
      </c>
      <c r="H376" s="100">
        <f t="shared" si="72"/>
        <v>5279.8</v>
      </c>
    </row>
    <row r="377" spans="1:8" s="28" customFormat="1" ht="12" x14ac:dyDescent="0.2">
      <c r="A377" s="39" t="s">
        <v>374</v>
      </c>
      <c r="B377" s="30" t="s">
        <v>718</v>
      </c>
      <c r="C377" s="30" t="s">
        <v>375</v>
      </c>
      <c r="D377" s="30"/>
      <c r="E377" s="40"/>
      <c r="F377" s="100">
        <f t="shared" si="72"/>
        <v>5948.2870000000003</v>
      </c>
      <c r="G377" s="100">
        <f t="shared" si="72"/>
        <v>5279.8</v>
      </c>
      <c r="H377" s="100">
        <f t="shared" si="72"/>
        <v>5279.8</v>
      </c>
    </row>
    <row r="378" spans="1:8" s="28" customFormat="1" ht="12" x14ac:dyDescent="0.2">
      <c r="A378" s="39" t="s">
        <v>791</v>
      </c>
      <c r="B378" s="30" t="s">
        <v>718</v>
      </c>
      <c r="C378" s="40" t="s">
        <v>375</v>
      </c>
      <c r="D378" s="40" t="s">
        <v>412</v>
      </c>
      <c r="E378" s="40"/>
      <c r="F378" s="100">
        <f t="shared" si="72"/>
        <v>5948.2870000000003</v>
      </c>
      <c r="G378" s="100">
        <f t="shared" si="72"/>
        <v>5279.8</v>
      </c>
      <c r="H378" s="100">
        <f t="shared" si="72"/>
        <v>5279.8</v>
      </c>
    </row>
    <row r="379" spans="1:8" s="28" customFormat="1" ht="12" x14ac:dyDescent="0.2">
      <c r="A379" s="52" t="s">
        <v>263</v>
      </c>
      <c r="B379" s="49" t="s">
        <v>718</v>
      </c>
      <c r="C379" s="49" t="s">
        <v>375</v>
      </c>
      <c r="D379" s="49" t="s">
        <v>412</v>
      </c>
      <c r="E379" s="49"/>
      <c r="F379" s="117">
        <f>F380+F382+F384</f>
        <v>5948.2870000000003</v>
      </c>
      <c r="G379" s="117">
        <f>G380+G382+G384</f>
        <v>5279.8</v>
      </c>
      <c r="H379" s="117">
        <f>H380+H382+H384</f>
        <v>5279.8</v>
      </c>
    </row>
    <row r="380" spans="1:8" s="28" customFormat="1" ht="36" x14ac:dyDescent="0.2">
      <c r="A380" s="35" t="s">
        <v>185</v>
      </c>
      <c r="B380" s="36" t="s">
        <v>718</v>
      </c>
      <c r="C380" s="36" t="s">
        <v>375</v>
      </c>
      <c r="D380" s="36" t="s">
        <v>412</v>
      </c>
      <c r="E380" s="36" t="s">
        <v>186</v>
      </c>
      <c r="F380" s="98">
        <f>F381</f>
        <v>5843.2870000000003</v>
      </c>
      <c r="G380" s="98">
        <f>G381</f>
        <v>5174.8</v>
      </c>
      <c r="H380" s="98">
        <f>H381</f>
        <v>5174.8</v>
      </c>
    </row>
    <row r="381" spans="1:8" s="28" customFormat="1" ht="12" x14ac:dyDescent="0.2">
      <c r="A381" s="35" t="s">
        <v>266</v>
      </c>
      <c r="B381" s="36" t="s">
        <v>718</v>
      </c>
      <c r="C381" s="36" t="s">
        <v>375</v>
      </c>
      <c r="D381" s="36" t="s">
        <v>412</v>
      </c>
      <c r="E381" s="36" t="s">
        <v>267</v>
      </c>
      <c r="F381" s="98">
        <f>3974.5+1200.3+668.487</f>
        <v>5843.2870000000003</v>
      </c>
      <c r="G381" s="98">
        <f>3974.5+1200.3</f>
        <v>5174.8</v>
      </c>
      <c r="H381" s="98">
        <f>3974.5+1200.3</f>
        <v>5174.8</v>
      </c>
    </row>
    <row r="382" spans="1:8" s="28" customFormat="1" ht="12" x14ac:dyDescent="0.2">
      <c r="A382" s="35" t="s">
        <v>195</v>
      </c>
      <c r="B382" s="36" t="s">
        <v>718</v>
      </c>
      <c r="C382" s="36" t="s">
        <v>375</v>
      </c>
      <c r="D382" s="36" t="s">
        <v>412</v>
      </c>
      <c r="E382" s="36" t="s">
        <v>196</v>
      </c>
      <c r="F382" s="98">
        <f>F383</f>
        <v>100</v>
      </c>
      <c r="G382" s="98">
        <f>G383</f>
        <v>100</v>
      </c>
      <c r="H382" s="98">
        <f>H383</f>
        <v>100</v>
      </c>
    </row>
    <row r="383" spans="1:8" s="28" customFormat="1" ht="12" x14ac:dyDescent="0.2">
      <c r="A383" s="35" t="s">
        <v>197</v>
      </c>
      <c r="B383" s="36" t="s">
        <v>718</v>
      </c>
      <c r="C383" s="36" t="s">
        <v>375</v>
      </c>
      <c r="D383" s="36" t="s">
        <v>412</v>
      </c>
      <c r="E383" s="36" t="s">
        <v>198</v>
      </c>
      <c r="F383" s="98">
        <v>100</v>
      </c>
      <c r="G383" s="98">
        <v>100</v>
      </c>
      <c r="H383" s="98">
        <v>100</v>
      </c>
    </row>
    <row r="384" spans="1:8" s="28" customFormat="1" ht="12" x14ac:dyDescent="0.2">
      <c r="A384" s="35" t="s">
        <v>199</v>
      </c>
      <c r="B384" s="36" t="s">
        <v>718</v>
      </c>
      <c r="C384" s="36" t="s">
        <v>375</v>
      </c>
      <c r="D384" s="36" t="s">
        <v>412</v>
      </c>
      <c r="E384" s="36" t="s">
        <v>200</v>
      </c>
      <c r="F384" s="116">
        <f>F385</f>
        <v>5</v>
      </c>
      <c r="G384" s="116">
        <f>G385</f>
        <v>5</v>
      </c>
      <c r="H384" s="116">
        <f>H385</f>
        <v>5</v>
      </c>
    </row>
    <row r="385" spans="1:8" s="28" customFormat="1" ht="12" x14ac:dyDescent="0.2">
      <c r="A385" s="35" t="s">
        <v>201</v>
      </c>
      <c r="B385" s="36" t="s">
        <v>718</v>
      </c>
      <c r="C385" s="36" t="s">
        <v>375</v>
      </c>
      <c r="D385" s="36" t="s">
        <v>412</v>
      </c>
      <c r="E385" s="36" t="s">
        <v>202</v>
      </c>
      <c r="F385" s="116">
        <v>5</v>
      </c>
      <c r="G385" s="116">
        <v>5</v>
      </c>
      <c r="H385" s="116">
        <v>5</v>
      </c>
    </row>
    <row r="386" spans="1:8" s="28" customFormat="1" ht="24" x14ac:dyDescent="0.2">
      <c r="A386" s="146" t="s">
        <v>719</v>
      </c>
      <c r="B386" s="40" t="s">
        <v>720</v>
      </c>
      <c r="C386" s="40"/>
      <c r="D386" s="40"/>
      <c r="E386" s="40"/>
      <c r="F386" s="114">
        <f t="shared" ref="F386:H387" si="73">F387</f>
        <v>1050</v>
      </c>
      <c r="G386" s="114">
        <f t="shared" si="73"/>
        <v>1830</v>
      </c>
      <c r="H386" s="114">
        <f t="shared" si="73"/>
        <v>1830</v>
      </c>
    </row>
    <row r="387" spans="1:8" s="28" customFormat="1" ht="12" x14ac:dyDescent="0.2">
      <c r="A387" s="29" t="s">
        <v>374</v>
      </c>
      <c r="B387" s="30" t="s">
        <v>720</v>
      </c>
      <c r="C387" s="30" t="s">
        <v>375</v>
      </c>
      <c r="D387" s="30"/>
      <c r="E387" s="30"/>
      <c r="F387" s="100">
        <f t="shared" si="73"/>
        <v>1050</v>
      </c>
      <c r="G387" s="100">
        <f t="shared" si="73"/>
        <v>1830</v>
      </c>
      <c r="H387" s="100">
        <f t="shared" si="73"/>
        <v>1830</v>
      </c>
    </row>
    <row r="388" spans="1:8" s="28" customFormat="1" ht="12" x14ac:dyDescent="0.2">
      <c r="A388" s="29" t="s">
        <v>791</v>
      </c>
      <c r="B388" s="30" t="s">
        <v>720</v>
      </c>
      <c r="C388" s="30" t="s">
        <v>375</v>
      </c>
      <c r="D388" s="30" t="s">
        <v>412</v>
      </c>
      <c r="E388" s="30"/>
      <c r="F388" s="100">
        <f>F389+F391</f>
        <v>1050</v>
      </c>
      <c r="G388" s="100">
        <f>G389+G391</f>
        <v>1830</v>
      </c>
      <c r="H388" s="100">
        <f>H389+H391</f>
        <v>1830</v>
      </c>
    </row>
    <row r="389" spans="1:8" s="28" customFormat="1" ht="36" x14ac:dyDescent="0.2">
      <c r="A389" s="35" t="s">
        <v>185</v>
      </c>
      <c r="B389" s="36" t="s">
        <v>720</v>
      </c>
      <c r="C389" s="36" t="s">
        <v>375</v>
      </c>
      <c r="D389" s="36" t="s">
        <v>412</v>
      </c>
      <c r="E389" s="36" t="s">
        <v>186</v>
      </c>
      <c r="F389" s="115">
        <f>F390</f>
        <v>205</v>
      </c>
      <c r="G389" s="115">
        <f>G390</f>
        <v>205</v>
      </c>
      <c r="H389" s="115">
        <f>H390</f>
        <v>205</v>
      </c>
    </row>
    <row r="390" spans="1:8" s="28" customFormat="1" ht="12" x14ac:dyDescent="0.2">
      <c r="A390" s="35" t="s">
        <v>266</v>
      </c>
      <c r="B390" s="36" t="s">
        <v>720</v>
      </c>
      <c r="C390" s="36" t="s">
        <v>375</v>
      </c>
      <c r="D390" s="36" t="s">
        <v>412</v>
      </c>
      <c r="E390" s="36" t="s">
        <v>267</v>
      </c>
      <c r="F390" s="98">
        <v>205</v>
      </c>
      <c r="G390" s="98">
        <v>205</v>
      </c>
      <c r="H390" s="98">
        <v>205</v>
      </c>
    </row>
    <row r="391" spans="1:8" s="28" customFormat="1" ht="12" x14ac:dyDescent="0.2">
      <c r="A391" s="35" t="s">
        <v>195</v>
      </c>
      <c r="B391" s="36" t="s">
        <v>720</v>
      </c>
      <c r="C391" s="36" t="s">
        <v>375</v>
      </c>
      <c r="D391" s="36" t="s">
        <v>412</v>
      </c>
      <c r="E391" s="36" t="s">
        <v>196</v>
      </c>
      <c r="F391" s="98">
        <f>F392</f>
        <v>845</v>
      </c>
      <c r="G391" s="98">
        <f>G392</f>
        <v>1625</v>
      </c>
      <c r="H391" s="98">
        <f>H392</f>
        <v>1625</v>
      </c>
    </row>
    <row r="392" spans="1:8" s="28" customFormat="1" ht="12" x14ac:dyDescent="0.2">
      <c r="A392" s="35" t="s">
        <v>197</v>
      </c>
      <c r="B392" s="36" t="s">
        <v>720</v>
      </c>
      <c r="C392" s="36" t="s">
        <v>375</v>
      </c>
      <c r="D392" s="36" t="s">
        <v>412</v>
      </c>
      <c r="E392" s="36" t="s">
        <v>198</v>
      </c>
      <c r="F392" s="98">
        <f>1625-350-100+70-400</f>
        <v>845</v>
      </c>
      <c r="G392" s="98">
        <v>1625</v>
      </c>
      <c r="H392" s="98">
        <v>1625</v>
      </c>
    </row>
    <row r="393" spans="1:8" s="28" customFormat="1" ht="36" x14ac:dyDescent="0.2">
      <c r="A393" s="146" t="s">
        <v>721</v>
      </c>
      <c r="B393" s="40" t="s">
        <v>722</v>
      </c>
      <c r="C393" s="40"/>
      <c r="D393" s="40"/>
      <c r="E393" s="40"/>
      <c r="F393" s="114">
        <f t="shared" ref="F393:H394" si="74">F394</f>
        <v>1600</v>
      </c>
      <c r="G393" s="114">
        <f t="shared" si="74"/>
        <v>600</v>
      </c>
      <c r="H393" s="114">
        <f t="shared" si="74"/>
        <v>600</v>
      </c>
    </row>
    <row r="394" spans="1:8" s="28" customFormat="1" ht="12" x14ac:dyDescent="0.2">
      <c r="A394" s="29" t="s">
        <v>374</v>
      </c>
      <c r="B394" s="30" t="s">
        <v>722</v>
      </c>
      <c r="C394" s="30" t="s">
        <v>375</v>
      </c>
      <c r="D394" s="30"/>
      <c r="E394" s="30"/>
      <c r="F394" s="31">
        <f t="shared" si="74"/>
        <v>1600</v>
      </c>
      <c r="G394" s="31">
        <f t="shared" si="74"/>
        <v>600</v>
      </c>
      <c r="H394" s="31">
        <f t="shared" si="74"/>
        <v>600</v>
      </c>
    </row>
    <row r="395" spans="1:8" s="28" customFormat="1" ht="12" x14ac:dyDescent="0.2">
      <c r="A395" s="29" t="s">
        <v>791</v>
      </c>
      <c r="B395" s="30" t="s">
        <v>722</v>
      </c>
      <c r="C395" s="30" t="s">
        <v>375</v>
      </c>
      <c r="D395" s="30" t="s">
        <v>412</v>
      </c>
      <c r="E395" s="30"/>
      <c r="F395" s="31">
        <f>F396+F398+F400</f>
        <v>1600</v>
      </c>
      <c r="G395" s="31">
        <f>G396+G398+G400</f>
        <v>600</v>
      </c>
      <c r="H395" s="31">
        <f>H396+H398+H400</f>
        <v>600</v>
      </c>
    </row>
    <row r="396" spans="1:8" s="28" customFormat="1" ht="36" x14ac:dyDescent="0.2">
      <c r="A396" s="35" t="s">
        <v>185</v>
      </c>
      <c r="B396" s="36" t="s">
        <v>722</v>
      </c>
      <c r="C396" s="36" t="s">
        <v>375</v>
      </c>
      <c r="D396" s="36" t="s">
        <v>412</v>
      </c>
      <c r="E396" s="36" t="s">
        <v>186</v>
      </c>
      <c r="F396" s="46">
        <f>F397</f>
        <v>50</v>
      </c>
      <c r="G396" s="46">
        <f>G397</f>
        <v>50</v>
      </c>
      <c r="H396" s="46">
        <f>H397</f>
        <v>50</v>
      </c>
    </row>
    <row r="397" spans="1:8" s="28" customFormat="1" ht="12" x14ac:dyDescent="0.2">
      <c r="A397" s="35" t="s">
        <v>266</v>
      </c>
      <c r="B397" s="36" t="s">
        <v>722</v>
      </c>
      <c r="C397" s="36" t="s">
        <v>375</v>
      </c>
      <c r="D397" s="36" t="s">
        <v>412</v>
      </c>
      <c r="E397" s="36" t="s">
        <v>267</v>
      </c>
      <c r="F397" s="98">
        <v>50</v>
      </c>
      <c r="G397" s="98">
        <v>50</v>
      </c>
      <c r="H397" s="98">
        <v>50</v>
      </c>
    </row>
    <row r="398" spans="1:8" s="28" customFormat="1" ht="12" x14ac:dyDescent="0.2">
      <c r="A398" s="35" t="s">
        <v>195</v>
      </c>
      <c r="B398" s="36" t="s">
        <v>722</v>
      </c>
      <c r="C398" s="36" t="s">
        <v>375</v>
      </c>
      <c r="D398" s="36" t="s">
        <v>412</v>
      </c>
      <c r="E398" s="36" t="s">
        <v>196</v>
      </c>
      <c r="F398" s="98">
        <f>F399</f>
        <v>1180</v>
      </c>
      <c r="G398" s="98">
        <f>G399</f>
        <v>280</v>
      </c>
      <c r="H398" s="98">
        <f>H399</f>
        <v>280</v>
      </c>
    </row>
    <row r="399" spans="1:8" s="28" customFormat="1" ht="12" x14ac:dyDescent="0.2">
      <c r="A399" s="35" t="s">
        <v>197</v>
      </c>
      <c r="B399" s="36" t="s">
        <v>722</v>
      </c>
      <c r="C399" s="36" t="s">
        <v>375</v>
      </c>
      <c r="D399" s="36" t="s">
        <v>412</v>
      </c>
      <c r="E399" s="36" t="s">
        <v>198</v>
      </c>
      <c r="F399" s="98">
        <f>280+350+150+400</f>
        <v>1180</v>
      </c>
      <c r="G399" s="98">
        <v>280</v>
      </c>
      <c r="H399" s="98">
        <v>280</v>
      </c>
    </row>
    <row r="400" spans="1:8" s="28" customFormat="1" ht="12" x14ac:dyDescent="0.2">
      <c r="A400" s="35" t="s">
        <v>325</v>
      </c>
      <c r="B400" s="36" t="s">
        <v>722</v>
      </c>
      <c r="C400" s="36" t="s">
        <v>375</v>
      </c>
      <c r="D400" s="36" t="s">
        <v>412</v>
      </c>
      <c r="E400" s="36" t="s">
        <v>326</v>
      </c>
      <c r="F400" s="98">
        <f>F401</f>
        <v>370</v>
      </c>
      <c r="G400" s="98">
        <f>G401</f>
        <v>270</v>
      </c>
      <c r="H400" s="98">
        <f>H401</f>
        <v>270</v>
      </c>
    </row>
    <row r="401" spans="1:8" s="28" customFormat="1" ht="12" x14ac:dyDescent="0.2">
      <c r="A401" s="35" t="s">
        <v>723</v>
      </c>
      <c r="B401" s="36" t="s">
        <v>722</v>
      </c>
      <c r="C401" s="36" t="s">
        <v>375</v>
      </c>
      <c r="D401" s="36" t="s">
        <v>412</v>
      </c>
      <c r="E401" s="36" t="s">
        <v>724</v>
      </c>
      <c r="F401" s="98">
        <f>270+100</f>
        <v>370</v>
      </c>
      <c r="G401" s="98">
        <v>270</v>
      </c>
      <c r="H401" s="98">
        <v>270</v>
      </c>
    </row>
    <row r="402" spans="1:8" s="28" customFormat="1" ht="12" x14ac:dyDescent="0.2">
      <c r="A402" s="29" t="s">
        <v>701</v>
      </c>
      <c r="B402" s="30" t="s">
        <v>702</v>
      </c>
      <c r="C402" s="30"/>
      <c r="D402" s="30"/>
      <c r="E402" s="30"/>
      <c r="F402" s="31">
        <f>F403+F408+F414+F420</f>
        <v>46307.32</v>
      </c>
      <c r="G402" s="31">
        <f>G403+G408+G414+G420</f>
        <v>26150.2</v>
      </c>
      <c r="H402" s="31">
        <f>H403+H408+H414+H420</f>
        <v>26150.2</v>
      </c>
    </row>
    <row r="403" spans="1:8" s="28" customFormat="1" ht="24" x14ac:dyDescent="0.2">
      <c r="A403" s="42" t="s">
        <v>733</v>
      </c>
      <c r="B403" s="40" t="s">
        <v>734</v>
      </c>
      <c r="C403" s="40"/>
      <c r="D403" s="40"/>
      <c r="E403" s="40"/>
      <c r="F403" s="41">
        <f t="shared" ref="F403:H406" si="75">F404</f>
        <v>640</v>
      </c>
      <c r="G403" s="41">
        <f t="shared" si="75"/>
        <v>640</v>
      </c>
      <c r="H403" s="41">
        <f t="shared" si="75"/>
        <v>640</v>
      </c>
    </row>
    <row r="404" spans="1:8" s="28" customFormat="1" ht="12" x14ac:dyDescent="0.2">
      <c r="A404" s="29" t="s">
        <v>321</v>
      </c>
      <c r="B404" s="30" t="s">
        <v>734</v>
      </c>
      <c r="C404" s="30" t="s">
        <v>284</v>
      </c>
      <c r="D404" s="30"/>
      <c r="E404" s="30"/>
      <c r="F404" s="31">
        <f t="shared" si="75"/>
        <v>640</v>
      </c>
      <c r="G404" s="31">
        <f t="shared" si="75"/>
        <v>640</v>
      </c>
      <c r="H404" s="31">
        <f t="shared" si="75"/>
        <v>640</v>
      </c>
    </row>
    <row r="405" spans="1:8" s="28" customFormat="1" ht="12" x14ac:dyDescent="0.2">
      <c r="A405" s="29" t="s">
        <v>794</v>
      </c>
      <c r="B405" s="30" t="s">
        <v>734</v>
      </c>
      <c r="C405" s="30" t="s">
        <v>284</v>
      </c>
      <c r="D405" s="30" t="s">
        <v>283</v>
      </c>
      <c r="E405" s="30"/>
      <c r="F405" s="31">
        <f t="shared" si="75"/>
        <v>640</v>
      </c>
      <c r="G405" s="31">
        <f t="shared" si="75"/>
        <v>640</v>
      </c>
      <c r="H405" s="31">
        <f t="shared" si="75"/>
        <v>640</v>
      </c>
    </row>
    <row r="406" spans="1:8" s="28" customFormat="1" ht="12" x14ac:dyDescent="0.2">
      <c r="A406" s="35" t="s">
        <v>325</v>
      </c>
      <c r="B406" s="36" t="s">
        <v>734</v>
      </c>
      <c r="C406" s="36" t="s">
        <v>284</v>
      </c>
      <c r="D406" s="36" t="s">
        <v>283</v>
      </c>
      <c r="E406" s="36" t="s">
        <v>326</v>
      </c>
      <c r="F406" s="37">
        <f t="shared" si="75"/>
        <v>640</v>
      </c>
      <c r="G406" s="37">
        <f t="shared" si="75"/>
        <v>640</v>
      </c>
      <c r="H406" s="37">
        <f t="shared" si="75"/>
        <v>640</v>
      </c>
    </row>
    <row r="407" spans="1:8" s="28" customFormat="1" ht="12" x14ac:dyDescent="0.2">
      <c r="A407" s="35" t="s">
        <v>336</v>
      </c>
      <c r="B407" s="36" t="s">
        <v>734</v>
      </c>
      <c r="C407" s="36" t="s">
        <v>284</v>
      </c>
      <c r="D407" s="36" t="s">
        <v>283</v>
      </c>
      <c r="E407" s="36" t="s">
        <v>337</v>
      </c>
      <c r="F407" s="98">
        <v>640</v>
      </c>
      <c r="G407" s="98">
        <v>640</v>
      </c>
      <c r="H407" s="98">
        <v>640</v>
      </c>
    </row>
    <row r="408" spans="1:8" s="28" customFormat="1" ht="12" x14ac:dyDescent="0.2">
      <c r="A408" s="42" t="s">
        <v>703</v>
      </c>
      <c r="B408" s="30" t="s">
        <v>705</v>
      </c>
      <c r="C408" s="36"/>
      <c r="D408" s="36"/>
      <c r="E408" s="40"/>
      <c r="F408" s="41">
        <f t="shared" ref="F408:H410" si="76">F409</f>
        <v>8010.2</v>
      </c>
      <c r="G408" s="41">
        <f t="shared" si="76"/>
        <v>8010.2</v>
      </c>
      <c r="H408" s="41">
        <f t="shared" si="76"/>
        <v>8010.2</v>
      </c>
    </row>
    <row r="409" spans="1:8" s="28" customFormat="1" ht="12" x14ac:dyDescent="0.2">
      <c r="A409" s="29" t="s">
        <v>374</v>
      </c>
      <c r="B409" s="30" t="s">
        <v>705</v>
      </c>
      <c r="C409" s="30" t="s">
        <v>375</v>
      </c>
      <c r="D409" s="30"/>
      <c r="E409" s="30"/>
      <c r="F409" s="31">
        <f t="shared" si="76"/>
        <v>8010.2</v>
      </c>
      <c r="G409" s="31">
        <f t="shared" si="76"/>
        <v>8010.2</v>
      </c>
      <c r="H409" s="31">
        <f t="shared" si="76"/>
        <v>8010.2</v>
      </c>
    </row>
    <row r="410" spans="1:8" s="28" customFormat="1" ht="12" x14ac:dyDescent="0.2">
      <c r="A410" s="50" t="s">
        <v>682</v>
      </c>
      <c r="B410" s="30" t="s">
        <v>705</v>
      </c>
      <c r="C410" s="30" t="s">
        <v>375</v>
      </c>
      <c r="D410" s="30" t="s">
        <v>352</v>
      </c>
      <c r="E410" s="30"/>
      <c r="F410" s="31">
        <f t="shared" si="76"/>
        <v>8010.2</v>
      </c>
      <c r="G410" s="31">
        <f t="shared" si="76"/>
        <v>8010.2</v>
      </c>
      <c r="H410" s="31">
        <f t="shared" si="76"/>
        <v>8010.2</v>
      </c>
    </row>
    <row r="411" spans="1:8" s="28" customFormat="1" ht="12" x14ac:dyDescent="0.2">
      <c r="A411" s="35" t="s">
        <v>356</v>
      </c>
      <c r="B411" s="36" t="s">
        <v>705</v>
      </c>
      <c r="C411" s="36" t="s">
        <v>375</v>
      </c>
      <c r="D411" s="36" t="s">
        <v>352</v>
      </c>
      <c r="E411" s="36" t="s">
        <v>357</v>
      </c>
      <c r="F411" s="37">
        <f>F412+F413</f>
        <v>8010.2</v>
      </c>
      <c r="G411" s="37">
        <f>G412+G413</f>
        <v>8010.2</v>
      </c>
      <c r="H411" s="37">
        <f>H412+H413</f>
        <v>8010.2</v>
      </c>
    </row>
    <row r="412" spans="1:8" s="28" customFormat="1" ht="12" x14ac:dyDescent="0.2">
      <c r="A412" s="35" t="s">
        <v>358</v>
      </c>
      <c r="B412" s="36" t="s">
        <v>705</v>
      </c>
      <c r="C412" s="36" t="s">
        <v>375</v>
      </c>
      <c r="D412" s="36" t="s">
        <v>352</v>
      </c>
      <c r="E412" s="36" t="s">
        <v>359</v>
      </c>
      <c r="F412" s="98">
        <v>7882.8</v>
      </c>
      <c r="G412" s="98">
        <v>7882.8</v>
      </c>
      <c r="H412" s="98">
        <v>7882.8</v>
      </c>
    </row>
    <row r="413" spans="1:8" s="28" customFormat="1" ht="12" x14ac:dyDescent="0.2">
      <c r="A413" s="35" t="s">
        <v>383</v>
      </c>
      <c r="B413" s="36" t="s">
        <v>705</v>
      </c>
      <c r="C413" s="36" t="s">
        <v>375</v>
      </c>
      <c r="D413" s="36" t="s">
        <v>352</v>
      </c>
      <c r="E413" s="36" t="s">
        <v>384</v>
      </c>
      <c r="F413" s="98">
        <v>127.4</v>
      </c>
      <c r="G413" s="98">
        <v>127.4</v>
      </c>
      <c r="H413" s="98">
        <v>127.4</v>
      </c>
    </row>
    <row r="414" spans="1:8" s="28" customFormat="1" ht="36" x14ac:dyDescent="0.2">
      <c r="A414" s="129" t="s">
        <v>731</v>
      </c>
      <c r="B414" s="40" t="s">
        <v>732</v>
      </c>
      <c r="C414" s="40"/>
      <c r="D414" s="40"/>
      <c r="E414" s="40"/>
      <c r="F414" s="47">
        <f t="shared" ref="F414:H416" si="77">F415</f>
        <v>20157.12</v>
      </c>
      <c r="G414" s="47">
        <f t="shared" si="77"/>
        <v>0</v>
      </c>
      <c r="H414" s="47">
        <f t="shared" si="77"/>
        <v>0</v>
      </c>
    </row>
    <row r="415" spans="1:8" s="28" customFormat="1" x14ac:dyDescent="0.2">
      <c r="A415" s="29" t="s">
        <v>321</v>
      </c>
      <c r="B415" s="30" t="s">
        <v>732</v>
      </c>
      <c r="C415" s="30" t="s">
        <v>284</v>
      </c>
      <c r="D415" s="133"/>
      <c r="E415" s="30"/>
      <c r="F415" s="45">
        <f t="shared" si="77"/>
        <v>20157.12</v>
      </c>
      <c r="G415" s="45">
        <f t="shared" si="77"/>
        <v>0</v>
      </c>
      <c r="H415" s="45">
        <f t="shared" si="77"/>
        <v>0</v>
      </c>
    </row>
    <row r="416" spans="1:8" s="28" customFormat="1" ht="12" x14ac:dyDescent="0.2">
      <c r="A416" s="29" t="s">
        <v>329</v>
      </c>
      <c r="B416" s="30" t="s">
        <v>732</v>
      </c>
      <c r="C416" s="30" t="s">
        <v>284</v>
      </c>
      <c r="D416" s="30" t="s">
        <v>283</v>
      </c>
      <c r="E416" s="30"/>
      <c r="F416" s="45">
        <f t="shared" si="77"/>
        <v>20157.12</v>
      </c>
      <c r="G416" s="45">
        <f t="shared" si="77"/>
        <v>0</v>
      </c>
      <c r="H416" s="45">
        <f t="shared" si="77"/>
        <v>0</v>
      </c>
    </row>
    <row r="417" spans="1:8" s="28" customFormat="1" ht="12" x14ac:dyDescent="0.2">
      <c r="A417" s="35" t="s">
        <v>356</v>
      </c>
      <c r="B417" s="36" t="s">
        <v>732</v>
      </c>
      <c r="C417" s="36" t="s">
        <v>284</v>
      </c>
      <c r="D417" s="36" t="s">
        <v>283</v>
      </c>
      <c r="E417" s="36" t="s">
        <v>357</v>
      </c>
      <c r="F417" s="46">
        <f>F418+F419</f>
        <v>20157.12</v>
      </c>
      <c r="G417" s="46">
        <f>G418+G419</f>
        <v>0</v>
      </c>
      <c r="H417" s="46">
        <f>H418+H419</f>
        <v>0</v>
      </c>
    </row>
    <row r="418" spans="1:8" s="28" customFormat="1" ht="12" x14ac:dyDescent="0.2">
      <c r="A418" s="35" t="s">
        <v>358</v>
      </c>
      <c r="B418" s="36" t="s">
        <v>732</v>
      </c>
      <c r="C418" s="36" t="s">
        <v>284</v>
      </c>
      <c r="D418" s="36" t="s">
        <v>283</v>
      </c>
      <c r="E418" s="36" t="s">
        <v>359</v>
      </c>
      <c r="F418" s="98">
        <f>19281.62-363.4</f>
        <v>18918.219999999998</v>
      </c>
      <c r="G418" s="115">
        <v>0</v>
      </c>
      <c r="H418" s="115">
        <v>0</v>
      </c>
    </row>
    <row r="419" spans="1:8" s="28" customFormat="1" ht="12" x14ac:dyDescent="0.2">
      <c r="A419" s="35" t="s">
        <v>383</v>
      </c>
      <c r="B419" s="36" t="s">
        <v>732</v>
      </c>
      <c r="C419" s="36" t="s">
        <v>284</v>
      </c>
      <c r="D419" s="36" t="s">
        <v>283</v>
      </c>
      <c r="E419" s="36" t="s">
        <v>384</v>
      </c>
      <c r="F419" s="98">
        <f>875.5+363.4</f>
        <v>1238.9000000000001</v>
      </c>
      <c r="G419" s="115">
        <v>0</v>
      </c>
      <c r="H419" s="115">
        <v>0</v>
      </c>
    </row>
    <row r="420" spans="1:8" s="28" customFormat="1" ht="36" x14ac:dyDescent="0.2">
      <c r="A420" s="29" t="s">
        <v>736</v>
      </c>
      <c r="B420" s="40" t="s">
        <v>737</v>
      </c>
      <c r="C420" s="40"/>
      <c r="D420" s="40"/>
      <c r="E420" s="40"/>
      <c r="F420" s="47">
        <f t="shared" ref="F420:H423" si="78">F421</f>
        <v>17500</v>
      </c>
      <c r="G420" s="47">
        <f t="shared" si="78"/>
        <v>17500</v>
      </c>
      <c r="H420" s="47">
        <f t="shared" si="78"/>
        <v>17500</v>
      </c>
    </row>
    <row r="421" spans="1:8" s="28" customFormat="1" ht="13.5" x14ac:dyDescent="0.2">
      <c r="A421" s="29" t="s">
        <v>321</v>
      </c>
      <c r="B421" s="30" t="s">
        <v>737</v>
      </c>
      <c r="C421" s="30" t="s">
        <v>284</v>
      </c>
      <c r="D421" s="32"/>
      <c r="E421" s="40"/>
      <c r="F421" s="45">
        <f t="shared" si="78"/>
        <v>17500</v>
      </c>
      <c r="G421" s="45">
        <f t="shared" si="78"/>
        <v>17500</v>
      </c>
      <c r="H421" s="45">
        <f t="shared" si="78"/>
        <v>17500</v>
      </c>
    </row>
    <row r="422" spans="1:8" s="28" customFormat="1" ht="12" x14ac:dyDescent="0.2">
      <c r="A422" s="57" t="s">
        <v>795</v>
      </c>
      <c r="B422" s="30" t="s">
        <v>737</v>
      </c>
      <c r="C422" s="30" t="s">
        <v>284</v>
      </c>
      <c r="D422" s="30" t="s">
        <v>177</v>
      </c>
      <c r="E422" s="40"/>
      <c r="F422" s="45">
        <f t="shared" si="78"/>
        <v>17500</v>
      </c>
      <c r="G422" s="45">
        <f t="shared" si="78"/>
        <v>17500</v>
      </c>
      <c r="H422" s="45">
        <f t="shared" si="78"/>
        <v>17500</v>
      </c>
    </row>
    <row r="423" spans="1:8" s="28" customFormat="1" ht="12" x14ac:dyDescent="0.2">
      <c r="A423" s="35" t="s">
        <v>325</v>
      </c>
      <c r="B423" s="36" t="s">
        <v>737</v>
      </c>
      <c r="C423" s="36" t="s">
        <v>284</v>
      </c>
      <c r="D423" s="36" t="s">
        <v>177</v>
      </c>
      <c r="E423" s="36" t="s">
        <v>326</v>
      </c>
      <c r="F423" s="46">
        <f t="shared" si="78"/>
        <v>17500</v>
      </c>
      <c r="G423" s="46">
        <f t="shared" si="78"/>
        <v>17500</v>
      </c>
      <c r="H423" s="46">
        <f t="shared" si="78"/>
        <v>17500</v>
      </c>
    </row>
    <row r="424" spans="1:8" s="28" customFormat="1" ht="12" x14ac:dyDescent="0.2">
      <c r="A424" s="35" t="s">
        <v>738</v>
      </c>
      <c r="B424" s="36" t="s">
        <v>737</v>
      </c>
      <c r="C424" s="36" t="s">
        <v>284</v>
      </c>
      <c r="D424" s="36" t="s">
        <v>177</v>
      </c>
      <c r="E424" s="36" t="s">
        <v>328</v>
      </c>
      <c r="F424" s="98">
        <v>17500</v>
      </c>
      <c r="G424" s="98">
        <v>17500</v>
      </c>
      <c r="H424" s="98">
        <v>17500</v>
      </c>
    </row>
    <row r="425" spans="1:8" s="28" customFormat="1" ht="24" x14ac:dyDescent="0.2">
      <c r="A425" s="50" t="s">
        <v>725</v>
      </c>
      <c r="B425" s="30" t="s">
        <v>726</v>
      </c>
      <c r="C425" s="30"/>
      <c r="D425" s="30"/>
      <c r="E425" s="30"/>
      <c r="F425" s="31">
        <f t="shared" ref="F425:H426" si="79">F426</f>
        <v>17721.492999999999</v>
      </c>
      <c r="G425" s="31">
        <f t="shared" si="79"/>
        <v>14553.5</v>
      </c>
      <c r="H425" s="31">
        <f t="shared" si="79"/>
        <v>14553.5</v>
      </c>
    </row>
    <row r="426" spans="1:8" s="28" customFormat="1" x14ac:dyDescent="0.2">
      <c r="A426" s="66" t="s">
        <v>727</v>
      </c>
      <c r="B426" s="30" t="s">
        <v>726</v>
      </c>
      <c r="C426" s="30"/>
      <c r="D426" s="30"/>
      <c r="E426" s="30"/>
      <c r="F426" s="31">
        <f t="shared" si="79"/>
        <v>17721.492999999999</v>
      </c>
      <c r="G426" s="31">
        <f t="shared" si="79"/>
        <v>14553.5</v>
      </c>
      <c r="H426" s="31">
        <f t="shared" si="79"/>
        <v>14553.5</v>
      </c>
    </row>
    <row r="427" spans="1:8" s="28" customFormat="1" ht="24" x14ac:dyDescent="0.2">
      <c r="A427" s="129" t="s">
        <v>728</v>
      </c>
      <c r="B427" s="40" t="s">
        <v>726</v>
      </c>
      <c r="C427" s="40"/>
      <c r="D427" s="40"/>
      <c r="E427" s="40"/>
      <c r="F427" s="41">
        <f>F428+F433</f>
        <v>17721.492999999999</v>
      </c>
      <c r="G427" s="41">
        <f>G428+G433</f>
        <v>14553.5</v>
      </c>
      <c r="H427" s="41">
        <f>H428+H433</f>
        <v>14553.5</v>
      </c>
    </row>
    <row r="428" spans="1:8" s="28" customFormat="1" ht="12" x14ac:dyDescent="0.2">
      <c r="A428" s="29" t="s">
        <v>492</v>
      </c>
      <c r="B428" s="30" t="s">
        <v>729</v>
      </c>
      <c r="C428" s="30"/>
      <c r="D428" s="30"/>
      <c r="E428" s="30"/>
      <c r="F428" s="31">
        <f t="shared" ref="F428:H431" si="80">F429</f>
        <v>17092.489999999998</v>
      </c>
      <c r="G428" s="31">
        <f t="shared" si="80"/>
        <v>14008.5</v>
      </c>
      <c r="H428" s="31">
        <f t="shared" si="80"/>
        <v>14008.5</v>
      </c>
    </row>
    <row r="429" spans="1:8" s="28" customFormat="1" ht="12" x14ac:dyDescent="0.2">
      <c r="A429" s="39" t="s">
        <v>374</v>
      </c>
      <c r="B429" s="30" t="s">
        <v>729</v>
      </c>
      <c r="C429" s="30" t="s">
        <v>375</v>
      </c>
      <c r="D429" s="30"/>
      <c r="E429" s="30"/>
      <c r="F429" s="31">
        <f t="shared" si="80"/>
        <v>17092.489999999998</v>
      </c>
      <c r="G429" s="31">
        <f t="shared" si="80"/>
        <v>14008.5</v>
      </c>
      <c r="H429" s="31">
        <f t="shared" si="80"/>
        <v>14008.5</v>
      </c>
    </row>
    <row r="430" spans="1:8" s="28" customFormat="1" ht="12" x14ac:dyDescent="0.2">
      <c r="A430" s="39" t="s">
        <v>791</v>
      </c>
      <c r="B430" s="30" t="s">
        <v>729</v>
      </c>
      <c r="C430" s="30" t="s">
        <v>375</v>
      </c>
      <c r="D430" s="30" t="s">
        <v>412</v>
      </c>
      <c r="E430" s="30"/>
      <c r="F430" s="31">
        <f t="shared" si="80"/>
        <v>17092.489999999998</v>
      </c>
      <c r="G430" s="31">
        <f t="shared" si="80"/>
        <v>14008.5</v>
      </c>
      <c r="H430" s="31">
        <f t="shared" si="80"/>
        <v>14008.5</v>
      </c>
    </row>
    <row r="431" spans="1:8" s="28" customFormat="1" ht="36" x14ac:dyDescent="0.2">
      <c r="A431" s="35" t="s">
        <v>185</v>
      </c>
      <c r="B431" s="36" t="s">
        <v>729</v>
      </c>
      <c r="C431" s="36" t="s">
        <v>375</v>
      </c>
      <c r="D431" s="36" t="s">
        <v>412</v>
      </c>
      <c r="E431" s="36" t="s">
        <v>186</v>
      </c>
      <c r="F431" s="37">
        <f t="shared" si="80"/>
        <v>17092.489999999998</v>
      </c>
      <c r="G431" s="37">
        <f t="shared" si="80"/>
        <v>14008.5</v>
      </c>
      <c r="H431" s="37">
        <f t="shared" si="80"/>
        <v>14008.5</v>
      </c>
    </row>
    <row r="432" spans="1:8" s="28" customFormat="1" ht="12" x14ac:dyDescent="0.2">
      <c r="A432" s="35" t="s">
        <v>187</v>
      </c>
      <c r="B432" s="36" t="s">
        <v>729</v>
      </c>
      <c r="C432" s="36" t="s">
        <v>375</v>
      </c>
      <c r="D432" s="36" t="s">
        <v>412</v>
      </c>
      <c r="E432" s="36" t="s">
        <v>188</v>
      </c>
      <c r="F432" s="98">
        <f>14008.5+3083.99</f>
        <v>17092.489999999998</v>
      </c>
      <c r="G432" s="98">
        <v>14008.5</v>
      </c>
      <c r="H432" s="98">
        <v>14008.5</v>
      </c>
    </row>
    <row r="433" spans="1:8" s="28" customFormat="1" ht="12" x14ac:dyDescent="0.2">
      <c r="A433" s="29" t="s">
        <v>193</v>
      </c>
      <c r="B433" s="30" t="s">
        <v>730</v>
      </c>
      <c r="C433" s="30"/>
      <c r="D433" s="30"/>
      <c r="E433" s="30"/>
      <c r="F433" s="100">
        <f>F434</f>
        <v>629.00300000000004</v>
      </c>
      <c r="G433" s="100">
        <f t="shared" ref="G433:H433" si="81">G434</f>
        <v>545</v>
      </c>
      <c r="H433" s="100">
        <f t="shared" si="81"/>
        <v>545</v>
      </c>
    </row>
    <row r="434" spans="1:8" s="28" customFormat="1" ht="12" x14ac:dyDescent="0.2">
      <c r="A434" s="39" t="s">
        <v>374</v>
      </c>
      <c r="B434" s="30" t="s">
        <v>730</v>
      </c>
      <c r="C434" s="30" t="s">
        <v>375</v>
      </c>
      <c r="D434" s="30"/>
      <c r="E434" s="30"/>
      <c r="F434" s="98">
        <f>F435</f>
        <v>629.00300000000004</v>
      </c>
      <c r="G434" s="98">
        <f>G435</f>
        <v>545</v>
      </c>
      <c r="H434" s="98">
        <f>H435</f>
        <v>545</v>
      </c>
    </row>
    <row r="435" spans="1:8" s="28" customFormat="1" ht="12" x14ac:dyDescent="0.2">
      <c r="A435" s="39" t="s">
        <v>791</v>
      </c>
      <c r="B435" s="30" t="s">
        <v>730</v>
      </c>
      <c r="C435" s="30" t="s">
        <v>375</v>
      </c>
      <c r="D435" s="30" t="s">
        <v>412</v>
      </c>
      <c r="E435" s="30"/>
      <c r="F435" s="98">
        <f>F436+F438</f>
        <v>629.00300000000004</v>
      </c>
      <c r="G435" s="98">
        <f>G436+G438</f>
        <v>545</v>
      </c>
      <c r="H435" s="98">
        <f>H436+H438</f>
        <v>545</v>
      </c>
    </row>
    <row r="436" spans="1:8" s="28" customFormat="1" ht="12" x14ac:dyDescent="0.2">
      <c r="A436" s="35" t="s">
        <v>195</v>
      </c>
      <c r="B436" s="36" t="s">
        <v>730</v>
      </c>
      <c r="C436" s="36" t="s">
        <v>375</v>
      </c>
      <c r="D436" s="36" t="s">
        <v>412</v>
      </c>
      <c r="E436" s="36" t="s">
        <v>196</v>
      </c>
      <c r="F436" s="98">
        <f>F437</f>
        <v>624.00300000000004</v>
      </c>
      <c r="G436" s="98">
        <f>G437</f>
        <v>540</v>
      </c>
      <c r="H436" s="98">
        <f>H437</f>
        <v>540</v>
      </c>
    </row>
    <row r="437" spans="1:8" s="28" customFormat="1" ht="12" x14ac:dyDescent="0.2">
      <c r="A437" s="35" t="s">
        <v>197</v>
      </c>
      <c r="B437" s="36" t="s">
        <v>730</v>
      </c>
      <c r="C437" s="36" t="s">
        <v>375</v>
      </c>
      <c r="D437" s="36" t="s">
        <v>412</v>
      </c>
      <c r="E437" s="36" t="s">
        <v>198</v>
      </c>
      <c r="F437" s="98">
        <f>540+84.003</f>
        <v>624.00300000000004</v>
      </c>
      <c r="G437" s="98">
        <v>540</v>
      </c>
      <c r="H437" s="98">
        <v>540</v>
      </c>
    </row>
    <row r="438" spans="1:8" s="28" customFormat="1" ht="12" x14ac:dyDescent="0.2">
      <c r="A438" s="35" t="s">
        <v>199</v>
      </c>
      <c r="B438" s="36" t="s">
        <v>730</v>
      </c>
      <c r="C438" s="36" t="s">
        <v>375</v>
      </c>
      <c r="D438" s="36" t="s">
        <v>412</v>
      </c>
      <c r="E438" s="36" t="s">
        <v>200</v>
      </c>
      <c r="F438" s="98">
        <f>F439</f>
        <v>5</v>
      </c>
      <c r="G438" s="98">
        <f>G439</f>
        <v>5</v>
      </c>
      <c r="H438" s="98">
        <f>H439</f>
        <v>5</v>
      </c>
    </row>
    <row r="439" spans="1:8" s="28" customFormat="1" ht="12" x14ac:dyDescent="0.2">
      <c r="A439" s="35" t="s">
        <v>201</v>
      </c>
      <c r="B439" s="36" t="s">
        <v>730</v>
      </c>
      <c r="C439" s="36" t="s">
        <v>375</v>
      </c>
      <c r="D439" s="36" t="s">
        <v>412</v>
      </c>
      <c r="E439" s="36" t="s">
        <v>202</v>
      </c>
      <c r="F439" s="98">
        <v>5</v>
      </c>
      <c r="G439" s="98">
        <v>5</v>
      </c>
      <c r="H439" s="98">
        <v>5</v>
      </c>
    </row>
    <row r="440" spans="1:8" s="28" customFormat="1" ht="13.5" x14ac:dyDescent="0.2">
      <c r="A440" s="80" t="s">
        <v>439</v>
      </c>
      <c r="B440" s="79" t="s">
        <v>440</v>
      </c>
      <c r="C440" s="79"/>
      <c r="D440" s="79"/>
      <c r="E440" s="79"/>
      <c r="F440" s="78">
        <f>F441++F494+F528</f>
        <v>336874.49085</v>
      </c>
      <c r="G440" s="78">
        <f>G441++G494+G528</f>
        <v>241524.5</v>
      </c>
      <c r="H440" s="78">
        <f>H441++H494+H528</f>
        <v>244991.5</v>
      </c>
    </row>
    <row r="441" spans="1:8" s="28" customFormat="1" ht="13.5" x14ac:dyDescent="0.2">
      <c r="A441" s="38" t="s">
        <v>796</v>
      </c>
      <c r="B441" s="32" t="s">
        <v>449</v>
      </c>
      <c r="C441" s="32"/>
      <c r="D441" s="32"/>
      <c r="E441" s="32"/>
      <c r="F441" s="33">
        <f>F442+F447+F452+F464+F474+F469+F459+F479+F484+F489</f>
        <v>68957.06</v>
      </c>
      <c r="G441" s="33">
        <f>G442+G447+G452+G464+G474+G469+G459+G479+G484+G489</f>
        <v>25510</v>
      </c>
      <c r="H441" s="33">
        <f>H442+H447+H452+H464+H474+H469+H459+H479+H484+H489</f>
        <v>25810</v>
      </c>
    </row>
    <row r="442" spans="1:8" s="28" customFormat="1" ht="12" x14ac:dyDescent="0.2">
      <c r="A442" s="50" t="s">
        <v>450</v>
      </c>
      <c r="B442" s="30" t="s">
        <v>451</v>
      </c>
      <c r="C442" s="30"/>
      <c r="D442" s="30"/>
      <c r="E442" s="40"/>
      <c r="F442" s="31">
        <f t="shared" ref="F442:H445" si="82">F443</f>
        <v>63110</v>
      </c>
      <c r="G442" s="31">
        <f t="shared" si="82"/>
        <v>21810</v>
      </c>
      <c r="H442" s="31">
        <f t="shared" si="82"/>
        <v>21810</v>
      </c>
    </row>
    <row r="443" spans="1:8" s="28" customFormat="1" ht="12" x14ac:dyDescent="0.2">
      <c r="A443" s="50" t="s">
        <v>446</v>
      </c>
      <c r="B443" s="30" t="s">
        <v>451</v>
      </c>
      <c r="C443" s="30" t="s">
        <v>404</v>
      </c>
      <c r="D443" s="30"/>
      <c r="E443" s="40"/>
      <c r="F443" s="31">
        <f t="shared" si="82"/>
        <v>63110</v>
      </c>
      <c r="G443" s="31">
        <f t="shared" si="82"/>
        <v>21810</v>
      </c>
      <c r="H443" s="31">
        <f t="shared" si="82"/>
        <v>21810</v>
      </c>
    </row>
    <row r="444" spans="1:8" s="28" customFormat="1" ht="12" x14ac:dyDescent="0.2">
      <c r="A444" s="50" t="s">
        <v>447</v>
      </c>
      <c r="B444" s="30" t="s">
        <v>451</v>
      </c>
      <c r="C444" s="30" t="s">
        <v>404</v>
      </c>
      <c r="D444" s="30" t="s">
        <v>173</v>
      </c>
      <c r="E444" s="40"/>
      <c r="F444" s="31">
        <f t="shared" si="82"/>
        <v>63110</v>
      </c>
      <c r="G444" s="31">
        <f t="shared" si="82"/>
        <v>21810</v>
      </c>
      <c r="H444" s="31">
        <f t="shared" si="82"/>
        <v>21810</v>
      </c>
    </row>
    <row r="445" spans="1:8" s="28" customFormat="1" ht="12" x14ac:dyDescent="0.2">
      <c r="A445" s="35" t="s">
        <v>195</v>
      </c>
      <c r="B445" s="36" t="s">
        <v>451</v>
      </c>
      <c r="C445" s="36" t="s">
        <v>404</v>
      </c>
      <c r="D445" s="36" t="s">
        <v>173</v>
      </c>
      <c r="E445" s="36" t="s">
        <v>196</v>
      </c>
      <c r="F445" s="37">
        <f t="shared" si="82"/>
        <v>63110</v>
      </c>
      <c r="G445" s="37">
        <f t="shared" si="82"/>
        <v>21810</v>
      </c>
      <c r="H445" s="37">
        <f t="shared" si="82"/>
        <v>21810</v>
      </c>
    </row>
    <row r="446" spans="1:8" s="28" customFormat="1" ht="12" x14ac:dyDescent="0.2">
      <c r="A446" s="35" t="s">
        <v>197</v>
      </c>
      <c r="B446" s="36" t="s">
        <v>451</v>
      </c>
      <c r="C446" s="36" t="s">
        <v>404</v>
      </c>
      <c r="D446" s="36" t="s">
        <v>173</v>
      </c>
      <c r="E446" s="36" t="s">
        <v>198</v>
      </c>
      <c r="F446" s="98">
        <f>26810+30000+6300</f>
        <v>63110</v>
      </c>
      <c r="G446" s="98">
        <f>26810-5000</f>
        <v>21810</v>
      </c>
      <c r="H446" s="98">
        <f>26810-5000</f>
        <v>21810</v>
      </c>
    </row>
    <row r="447" spans="1:8" s="28" customFormat="1" ht="12" x14ac:dyDescent="0.2">
      <c r="A447" s="50" t="s">
        <v>452</v>
      </c>
      <c r="B447" s="30" t="s">
        <v>453</v>
      </c>
      <c r="C447" s="30"/>
      <c r="D447" s="30"/>
      <c r="E447" s="40"/>
      <c r="F447" s="31">
        <f t="shared" ref="F447:H450" si="83">F448</f>
        <v>350</v>
      </c>
      <c r="G447" s="31">
        <f t="shared" si="83"/>
        <v>400</v>
      </c>
      <c r="H447" s="31">
        <f t="shared" si="83"/>
        <v>400</v>
      </c>
    </row>
    <row r="448" spans="1:8" s="28" customFormat="1" ht="12" x14ac:dyDescent="0.2">
      <c r="A448" s="50" t="s">
        <v>446</v>
      </c>
      <c r="B448" s="30" t="s">
        <v>453</v>
      </c>
      <c r="C448" s="30" t="s">
        <v>404</v>
      </c>
      <c r="D448" s="30"/>
      <c r="E448" s="40"/>
      <c r="F448" s="31">
        <f t="shared" si="83"/>
        <v>350</v>
      </c>
      <c r="G448" s="31">
        <f t="shared" si="83"/>
        <v>400</v>
      </c>
      <c r="H448" s="31">
        <f t="shared" si="83"/>
        <v>400</v>
      </c>
    </row>
    <row r="449" spans="1:8" s="28" customFormat="1" ht="12" x14ac:dyDescent="0.2">
      <c r="A449" s="50" t="s">
        <v>447</v>
      </c>
      <c r="B449" s="30" t="s">
        <v>453</v>
      </c>
      <c r="C449" s="30" t="s">
        <v>404</v>
      </c>
      <c r="D449" s="30" t="s">
        <v>173</v>
      </c>
      <c r="E449" s="40"/>
      <c r="F449" s="31">
        <f t="shared" si="83"/>
        <v>350</v>
      </c>
      <c r="G449" s="31">
        <f t="shared" si="83"/>
        <v>400</v>
      </c>
      <c r="H449" s="31">
        <f t="shared" si="83"/>
        <v>400</v>
      </c>
    </row>
    <row r="450" spans="1:8" s="28" customFormat="1" ht="12" x14ac:dyDescent="0.2">
      <c r="A450" s="35" t="s">
        <v>195</v>
      </c>
      <c r="B450" s="36" t="s">
        <v>453</v>
      </c>
      <c r="C450" s="36" t="s">
        <v>404</v>
      </c>
      <c r="D450" s="36" t="s">
        <v>173</v>
      </c>
      <c r="E450" s="36" t="s">
        <v>196</v>
      </c>
      <c r="F450" s="37">
        <f t="shared" si="83"/>
        <v>350</v>
      </c>
      <c r="G450" s="37">
        <f t="shared" si="83"/>
        <v>400</v>
      </c>
      <c r="H450" s="37">
        <f t="shared" si="83"/>
        <v>400</v>
      </c>
    </row>
    <row r="451" spans="1:8" s="28" customFormat="1" ht="12" x14ac:dyDescent="0.2">
      <c r="A451" s="35" t="s">
        <v>197</v>
      </c>
      <c r="B451" s="36" t="s">
        <v>453</v>
      </c>
      <c r="C451" s="36" t="s">
        <v>404</v>
      </c>
      <c r="D451" s="36" t="s">
        <v>173</v>
      </c>
      <c r="E451" s="36" t="s">
        <v>198</v>
      </c>
      <c r="F451" s="98">
        <v>350</v>
      </c>
      <c r="G451" s="98">
        <v>400</v>
      </c>
      <c r="H451" s="98">
        <v>400</v>
      </c>
    </row>
    <row r="452" spans="1:8" s="28" customFormat="1" ht="24" x14ac:dyDescent="0.2">
      <c r="A452" s="29" t="s">
        <v>454</v>
      </c>
      <c r="B452" s="30" t="s">
        <v>455</v>
      </c>
      <c r="C452" s="30"/>
      <c r="D452" s="30"/>
      <c r="E452" s="30"/>
      <c r="F452" s="45">
        <f t="shared" ref="F452:H455" si="84">F453</f>
        <v>200</v>
      </c>
      <c r="G452" s="45">
        <f t="shared" si="84"/>
        <v>200</v>
      </c>
      <c r="H452" s="45">
        <f t="shared" si="84"/>
        <v>200</v>
      </c>
    </row>
    <row r="453" spans="1:8" s="28" customFormat="1" ht="12" x14ac:dyDescent="0.2">
      <c r="A453" s="50" t="s">
        <v>446</v>
      </c>
      <c r="B453" s="30" t="s">
        <v>455</v>
      </c>
      <c r="C453" s="30" t="s">
        <v>404</v>
      </c>
      <c r="D453" s="30"/>
      <c r="E453" s="30"/>
      <c r="F453" s="45">
        <f t="shared" si="84"/>
        <v>200</v>
      </c>
      <c r="G453" s="45">
        <f t="shared" si="84"/>
        <v>200</v>
      </c>
      <c r="H453" s="45">
        <f t="shared" si="84"/>
        <v>200</v>
      </c>
    </row>
    <row r="454" spans="1:8" s="28" customFormat="1" ht="12" x14ac:dyDescent="0.2">
      <c r="A454" s="50" t="s">
        <v>447</v>
      </c>
      <c r="B454" s="30" t="s">
        <v>455</v>
      </c>
      <c r="C454" s="30" t="s">
        <v>404</v>
      </c>
      <c r="D454" s="30" t="s">
        <v>173</v>
      </c>
      <c r="E454" s="30"/>
      <c r="F454" s="45">
        <f>F455+F457</f>
        <v>200</v>
      </c>
      <c r="G454" s="45">
        <f>G455+G457</f>
        <v>200</v>
      </c>
      <c r="H454" s="45">
        <f>H455+H457</f>
        <v>200</v>
      </c>
    </row>
    <row r="455" spans="1:8" s="28" customFormat="1" ht="12" x14ac:dyDescent="0.2">
      <c r="A455" s="35" t="s">
        <v>195</v>
      </c>
      <c r="B455" s="36" t="s">
        <v>455</v>
      </c>
      <c r="C455" s="36" t="s">
        <v>404</v>
      </c>
      <c r="D455" s="36" t="s">
        <v>173</v>
      </c>
      <c r="E455" s="36" t="s">
        <v>196</v>
      </c>
      <c r="F455" s="46">
        <f t="shared" si="84"/>
        <v>100</v>
      </c>
      <c r="G455" s="46">
        <f t="shared" si="84"/>
        <v>200</v>
      </c>
      <c r="H455" s="46">
        <f t="shared" si="84"/>
        <v>200</v>
      </c>
    </row>
    <row r="456" spans="1:8" s="28" customFormat="1" ht="12" x14ac:dyDescent="0.2">
      <c r="A456" s="35" t="s">
        <v>197</v>
      </c>
      <c r="B456" s="36" t="s">
        <v>455</v>
      </c>
      <c r="C456" s="36" t="s">
        <v>404</v>
      </c>
      <c r="D456" s="36" t="s">
        <v>173</v>
      </c>
      <c r="E456" s="36" t="s">
        <v>198</v>
      </c>
      <c r="F456" s="98">
        <v>100</v>
      </c>
      <c r="G456" s="98">
        <v>200</v>
      </c>
      <c r="H456" s="98">
        <v>200</v>
      </c>
    </row>
    <row r="457" spans="1:8" s="28" customFormat="1" ht="12" x14ac:dyDescent="0.2">
      <c r="A457" s="35" t="s">
        <v>325</v>
      </c>
      <c r="B457" s="36" t="s">
        <v>455</v>
      </c>
      <c r="C457" s="36" t="s">
        <v>404</v>
      </c>
      <c r="D457" s="36" t="s">
        <v>173</v>
      </c>
      <c r="E457" s="36" t="s">
        <v>326</v>
      </c>
      <c r="F457" s="98">
        <f>F458</f>
        <v>100</v>
      </c>
      <c r="G457" s="115">
        <f t="shared" ref="G457:H457" si="85">G458</f>
        <v>0</v>
      </c>
      <c r="H457" s="115">
        <f t="shared" si="85"/>
        <v>0</v>
      </c>
    </row>
    <row r="458" spans="1:8" s="28" customFormat="1" ht="12" x14ac:dyDescent="0.2">
      <c r="A458" s="35" t="s">
        <v>456</v>
      </c>
      <c r="B458" s="36" t="s">
        <v>455</v>
      </c>
      <c r="C458" s="36" t="s">
        <v>404</v>
      </c>
      <c r="D458" s="36" t="s">
        <v>173</v>
      </c>
      <c r="E458" s="36" t="s">
        <v>457</v>
      </c>
      <c r="F458" s="98">
        <v>100</v>
      </c>
      <c r="G458" s="115">
        <v>0</v>
      </c>
      <c r="H458" s="115">
        <v>0</v>
      </c>
    </row>
    <row r="459" spans="1:8" s="28" customFormat="1" ht="24" x14ac:dyDescent="0.2">
      <c r="A459" s="29" t="s">
        <v>458</v>
      </c>
      <c r="B459" s="30" t="s">
        <v>459</v>
      </c>
      <c r="C459" s="36"/>
      <c r="D459" s="36"/>
      <c r="E459" s="30"/>
      <c r="F459" s="45">
        <f t="shared" ref="F459:H462" si="86">F460</f>
        <v>300</v>
      </c>
      <c r="G459" s="45">
        <f t="shared" si="86"/>
        <v>1000</v>
      </c>
      <c r="H459" s="45">
        <f>H460</f>
        <v>1000</v>
      </c>
    </row>
    <row r="460" spans="1:8" s="28" customFormat="1" ht="12" x14ac:dyDescent="0.2">
      <c r="A460" s="50" t="s">
        <v>446</v>
      </c>
      <c r="B460" s="30" t="s">
        <v>459</v>
      </c>
      <c r="C460" s="30" t="s">
        <v>404</v>
      </c>
      <c r="D460" s="30"/>
      <c r="E460" s="30"/>
      <c r="F460" s="45">
        <f t="shared" si="86"/>
        <v>300</v>
      </c>
      <c r="G460" s="45">
        <f t="shared" si="86"/>
        <v>1000</v>
      </c>
      <c r="H460" s="45">
        <f>H461</f>
        <v>1000</v>
      </c>
    </row>
    <row r="461" spans="1:8" s="28" customFormat="1" ht="12" x14ac:dyDescent="0.2">
      <c r="A461" s="50" t="s">
        <v>447</v>
      </c>
      <c r="B461" s="30" t="s">
        <v>459</v>
      </c>
      <c r="C461" s="30" t="s">
        <v>404</v>
      </c>
      <c r="D461" s="30" t="s">
        <v>173</v>
      </c>
      <c r="E461" s="30"/>
      <c r="F461" s="45">
        <f t="shared" si="86"/>
        <v>300</v>
      </c>
      <c r="G461" s="45">
        <f t="shared" si="86"/>
        <v>1000</v>
      </c>
      <c r="H461" s="45">
        <f>H462</f>
        <v>1000</v>
      </c>
    </row>
    <row r="462" spans="1:8" s="28" customFormat="1" ht="12" x14ac:dyDescent="0.2">
      <c r="A462" s="35" t="s">
        <v>195</v>
      </c>
      <c r="B462" s="36" t="s">
        <v>459</v>
      </c>
      <c r="C462" s="36" t="s">
        <v>404</v>
      </c>
      <c r="D462" s="36" t="s">
        <v>173</v>
      </c>
      <c r="E462" s="36" t="s">
        <v>196</v>
      </c>
      <c r="F462" s="46">
        <f>F463</f>
        <v>300</v>
      </c>
      <c r="G462" s="46">
        <f t="shared" si="86"/>
        <v>1000</v>
      </c>
      <c r="H462" s="46">
        <f t="shared" si="86"/>
        <v>1000</v>
      </c>
    </row>
    <row r="463" spans="1:8" s="28" customFormat="1" ht="12" x14ac:dyDescent="0.2">
      <c r="A463" s="35" t="s">
        <v>197</v>
      </c>
      <c r="B463" s="36" t="s">
        <v>459</v>
      </c>
      <c r="C463" s="36" t="s">
        <v>404</v>
      </c>
      <c r="D463" s="36" t="s">
        <v>173</v>
      </c>
      <c r="E463" s="36" t="s">
        <v>198</v>
      </c>
      <c r="F463" s="98">
        <v>300</v>
      </c>
      <c r="G463" s="98">
        <v>1000</v>
      </c>
      <c r="H463" s="98">
        <v>1000</v>
      </c>
    </row>
    <row r="464" spans="1:8" s="28" customFormat="1" ht="24" x14ac:dyDescent="0.2">
      <c r="A464" s="29" t="s">
        <v>797</v>
      </c>
      <c r="B464" s="30" t="s">
        <v>461</v>
      </c>
      <c r="C464" s="30"/>
      <c r="D464" s="30"/>
      <c r="E464" s="30"/>
      <c r="F464" s="31">
        <f t="shared" ref="F464:H467" si="87">F465</f>
        <v>1200</v>
      </c>
      <c r="G464" s="31">
        <f t="shared" si="87"/>
        <v>700</v>
      </c>
      <c r="H464" s="31">
        <f t="shared" si="87"/>
        <v>500</v>
      </c>
    </row>
    <row r="465" spans="1:8" s="28" customFormat="1" ht="12" x14ac:dyDescent="0.2">
      <c r="A465" s="50" t="s">
        <v>446</v>
      </c>
      <c r="B465" s="30" t="s">
        <v>461</v>
      </c>
      <c r="C465" s="30" t="s">
        <v>404</v>
      </c>
      <c r="D465" s="30"/>
      <c r="E465" s="30"/>
      <c r="F465" s="31">
        <f t="shared" si="87"/>
        <v>1200</v>
      </c>
      <c r="G465" s="31">
        <f t="shared" si="87"/>
        <v>700</v>
      </c>
      <c r="H465" s="31">
        <f t="shared" si="87"/>
        <v>500</v>
      </c>
    </row>
    <row r="466" spans="1:8" s="28" customFormat="1" ht="12" x14ac:dyDescent="0.2">
      <c r="A466" s="50" t="s">
        <v>447</v>
      </c>
      <c r="B466" s="30" t="s">
        <v>461</v>
      </c>
      <c r="C466" s="30" t="s">
        <v>404</v>
      </c>
      <c r="D466" s="30" t="s">
        <v>173</v>
      </c>
      <c r="E466" s="30"/>
      <c r="F466" s="31">
        <f t="shared" si="87"/>
        <v>1200</v>
      </c>
      <c r="G466" s="31">
        <f t="shared" si="87"/>
        <v>700</v>
      </c>
      <c r="H466" s="31">
        <f t="shared" si="87"/>
        <v>500</v>
      </c>
    </row>
    <row r="467" spans="1:8" s="28" customFormat="1" ht="12" x14ac:dyDescent="0.2">
      <c r="A467" s="35" t="s">
        <v>195</v>
      </c>
      <c r="B467" s="36" t="s">
        <v>461</v>
      </c>
      <c r="C467" s="36" t="s">
        <v>404</v>
      </c>
      <c r="D467" s="36" t="s">
        <v>173</v>
      </c>
      <c r="E467" s="36" t="s">
        <v>196</v>
      </c>
      <c r="F467" s="37">
        <f t="shared" si="87"/>
        <v>1200</v>
      </c>
      <c r="G467" s="37">
        <f t="shared" si="87"/>
        <v>700</v>
      </c>
      <c r="H467" s="37">
        <f t="shared" si="87"/>
        <v>500</v>
      </c>
    </row>
    <row r="468" spans="1:8" s="28" customFormat="1" ht="12" x14ac:dyDescent="0.2">
      <c r="A468" s="35" t="s">
        <v>197</v>
      </c>
      <c r="B468" s="36" t="s">
        <v>461</v>
      </c>
      <c r="C468" s="36" t="s">
        <v>404</v>
      </c>
      <c r="D468" s="36" t="s">
        <v>173</v>
      </c>
      <c r="E468" s="36" t="s">
        <v>198</v>
      </c>
      <c r="F468" s="98">
        <v>1200</v>
      </c>
      <c r="G468" s="98">
        <v>700</v>
      </c>
      <c r="H468" s="98">
        <v>500</v>
      </c>
    </row>
    <row r="469" spans="1:8" s="28" customFormat="1" ht="24" x14ac:dyDescent="0.2">
      <c r="A469" s="29" t="s">
        <v>462</v>
      </c>
      <c r="B469" s="30" t="s">
        <v>463</v>
      </c>
      <c r="C469" s="30"/>
      <c r="D469" s="30"/>
      <c r="E469" s="30"/>
      <c r="F469" s="84">
        <f>F470</f>
        <v>0</v>
      </c>
      <c r="G469" s="84">
        <f t="shared" ref="G469:H472" si="88">G470</f>
        <v>0</v>
      </c>
      <c r="H469" s="84">
        <f t="shared" si="88"/>
        <v>500</v>
      </c>
    </row>
    <row r="470" spans="1:8" s="28" customFormat="1" ht="12" x14ac:dyDescent="0.2">
      <c r="A470" s="50" t="s">
        <v>446</v>
      </c>
      <c r="B470" s="30" t="s">
        <v>463</v>
      </c>
      <c r="C470" s="30" t="s">
        <v>404</v>
      </c>
      <c r="D470" s="30"/>
      <c r="E470" s="30"/>
      <c r="F470" s="84">
        <f>F471</f>
        <v>0</v>
      </c>
      <c r="G470" s="84">
        <f t="shared" si="88"/>
        <v>0</v>
      </c>
      <c r="H470" s="84">
        <f t="shared" si="88"/>
        <v>500</v>
      </c>
    </row>
    <row r="471" spans="1:8" s="28" customFormat="1" ht="12" x14ac:dyDescent="0.2">
      <c r="A471" s="50" t="s">
        <v>447</v>
      </c>
      <c r="B471" s="30" t="s">
        <v>463</v>
      </c>
      <c r="C471" s="30" t="s">
        <v>404</v>
      </c>
      <c r="D471" s="30" t="s">
        <v>173</v>
      </c>
      <c r="E471" s="30"/>
      <c r="F471" s="84">
        <f>F472</f>
        <v>0</v>
      </c>
      <c r="G471" s="84">
        <f t="shared" si="88"/>
        <v>0</v>
      </c>
      <c r="H471" s="84">
        <f t="shared" si="88"/>
        <v>500</v>
      </c>
    </row>
    <row r="472" spans="1:8" s="28" customFormat="1" ht="12" x14ac:dyDescent="0.2">
      <c r="A472" s="35" t="s">
        <v>195</v>
      </c>
      <c r="B472" s="36" t="s">
        <v>463</v>
      </c>
      <c r="C472" s="36" t="s">
        <v>404</v>
      </c>
      <c r="D472" s="36" t="s">
        <v>173</v>
      </c>
      <c r="E472" s="36" t="s">
        <v>196</v>
      </c>
      <c r="F472" s="82">
        <f>F473</f>
        <v>0</v>
      </c>
      <c r="G472" s="82">
        <f t="shared" si="88"/>
        <v>0</v>
      </c>
      <c r="H472" s="82">
        <f t="shared" si="88"/>
        <v>500</v>
      </c>
    </row>
    <row r="473" spans="1:8" s="28" customFormat="1" ht="12" x14ac:dyDescent="0.2">
      <c r="A473" s="35" t="s">
        <v>197</v>
      </c>
      <c r="B473" s="36" t="s">
        <v>463</v>
      </c>
      <c r="C473" s="36" t="s">
        <v>404</v>
      </c>
      <c r="D473" s="36" t="s">
        <v>173</v>
      </c>
      <c r="E473" s="36" t="s">
        <v>198</v>
      </c>
      <c r="F473" s="115">
        <v>0</v>
      </c>
      <c r="G473" s="115">
        <v>0</v>
      </c>
      <c r="H473" s="98">
        <v>500</v>
      </c>
    </row>
    <row r="474" spans="1:8" s="28" customFormat="1" ht="12" x14ac:dyDescent="0.2">
      <c r="A474" s="29" t="s">
        <v>464</v>
      </c>
      <c r="B474" s="30" t="s">
        <v>465</v>
      </c>
      <c r="C474" s="30"/>
      <c r="D474" s="30"/>
      <c r="E474" s="30"/>
      <c r="F474" s="31">
        <f t="shared" ref="F474:H477" si="89">F475</f>
        <v>500</v>
      </c>
      <c r="G474" s="31">
        <f t="shared" si="89"/>
        <v>500</v>
      </c>
      <c r="H474" s="31">
        <f t="shared" si="89"/>
        <v>500</v>
      </c>
    </row>
    <row r="475" spans="1:8" s="28" customFormat="1" ht="12" x14ac:dyDescent="0.2">
      <c r="A475" s="50" t="s">
        <v>446</v>
      </c>
      <c r="B475" s="30" t="s">
        <v>465</v>
      </c>
      <c r="C475" s="30" t="s">
        <v>404</v>
      </c>
      <c r="D475" s="30"/>
      <c r="E475" s="30"/>
      <c r="F475" s="31">
        <f t="shared" si="89"/>
        <v>500</v>
      </c>
      <c r="G475" s="31">
        <f t="shared" si="89"/>
        <v>500</v>
      </c>
      <c r="H475" s="31">
        <f t="shared" si="89"/>
        <v>500</v>
      </c>
    </row>
    <row r="476" spans="1:8" s="28" customFormat="1" ht="12" x14ac:dyDescent="0.2">
      <c r="A476" s="50" t="s">
        <v>447</v>
      </c>
      <c r="B476" s="30" t="s">
        <v>465</v>
      </c>
      <c r="C476" s="30" t="s">
        <v>404</v>
      </c>
      <c r="D476" s="30" t="s">
        <v>173</v>
      </c>
      <c r="E476" s="30"/>
      <c r="F476" s="31">
        <f t="shared" si="89"/>
        <v>500</v>
      </c>
      <c r="G476" s="31">
        <f t="shared" si="89"/>
        <v>500</v>
      </c>
      <c r="H476" s="31">
        <f t="shared" si="89"/>
        <v>500</v>
      </c>
    </row>
    <row r="477" spans="1:8" s="28" customFormat="1" ht="12" x14ac:dyDescent="0.2">
      <c r="A477" s="35" t="s">
        <v>195</v>
      </c>
      <c r="B477" s="36" t="s">
        <v>465</v>
      </c>
      <c r="C477" s="36" t="s">
        <v>404</v>
      </c>
      <c r="D477" s="36" t="s">
        <v>173</v>
      </c>
      <c r="E477" s="36" t="s">
        <v>196</v>
      </c>
      <c r="F477" s="37">
        <f t="shared" si="89"/>
        <v>500</v>
      </c>
      <c r="G477" s="37">
        <f t="shared" si="89"/>
        <v>500</v>
      </c>
      <c r="H477" s="37">
        <f t="shared" si="89"/>
        <v>500</v>
      </c>
    </row>
    <row r="478" spans="1:8" s="28" customFormat="1" ht="12" x14ac:dyDescent="0.2">
      <c r="A478" s="35" t="s">
        <v>197</v>
      </c>
      <c r="B478" s="36" t="s">
        <v>465</v>
      </c>
      <c r="C478" s="36" t="s">
        <v>404</v>
      </c>
      <c r="D478" s="36" t="s">
        <v>173</v>
      </c>
      <c r="E478" s="36" t="s">
        <v>198</v>
      </c>
      <c r="F478" s="98">
        <v>500</v>
      </c>
      <c r="G478" s="98">
        <v>500</v>
      </c>
      <c r="H478" s="98">
        <v>500</v>
      </c>
    </row>
    <row r="479" spans="1:8" s="28" customFormat="1" ht="12" x14ac:dyDescent="0.2">
      <c r="A479" s="50" t="s">
        <v>466</v>
      </c>
      <c r="B479" s="30" t="s">
        <v>467</v>
      </c>
      <c r="C479" s="30"/>
      <c r="D479" s="30"/>
      <c r="E479" s="30"/>
      <c r="F479" s="45">
        <f t="shared" ref="F479:H482" si="90">F480</f>
        <v>400</v>
      </c>
      <c r="G479" s="45">
        <f t="shared" si="90"/>
        <v>400</v>
      </c>
      <c r="H479" s="45">
        <f t="shared" si="90"/>
        <v>400</v>
      </c>
    </row>
    <row r="480" spans="1:8" s="28" customFormat="1" ht="12" x14ac:dyDescent="0.2">
      <c r="A480" s="50" t="s">
        <v>446</v>
      </c>
      <c r="B480" s="30" t="s">
        <v>467</v>
      </c>
      <c r="C480" s="30" t="s">
        <v>404</v>
      </c>
      <c r="D480" s="30"/>
      <c r="E480" s="30"/>
      <c r="F480" s="45">
        <f t="shared" si="90"/>
        <v>400</v>
      </c>
      <c r="G480" s="45">
        <f t="shared" si="90"/>
        <v>400</v>
      </c>
      <c r="H480" s="45">
        <f t="shared" si="90"/>
        <v>400</v>
      </c>
    </row>
    <row r="481" spans="1:8" s="28" customFormat="1" ht="12" x14ac:dyDescent="0.2">
      <c r="A481" s="50" t="s">
        <v>447</v>
      </c>
      <c r="B481" s="30" t="s">
        <v>467</v>
      </c>
      <c r="C481" s="30" t="s">
        <v>404</v>
      </c>
      <c r="D481" s="30" t="s">
        <v>173</v>
      </c>
      <c r="E481" s="30"/>
      <c r="F481" s="45">
        <f t="shared" si="90"/>
        <v>400</v>
      </c>
      <c r="G481" s="45">
        <f t="shared" si="90"/>
        <v>400</v>
      </c>
      <c r="H481" s="45">
        <f t="shared" si="90"/>
        <v>400</v>
      </c>
    </row>
    <row r="482" spans="1:8" s="28" customFormat="1" ht="12" x14ac:dyDescent="0.2">
      <c r="A482" s="35" t="s">
        <v>195</v>
      </c>
      <c r="B482" s="36" t="s">
        <v>467</v>
      </c>
      <c r="C482" s="36" t="s">
        <v>404</v>
      </c>
      <c r="D482" s="36" t="s">
        <v>173</v>
      </c>
      <c r="E482" s="36" t="s">
        <v>196</v>
      </c>
      <c r="F482" s="46">
        <f t="shared" si="90"/>
        <v>400</v>
      </c>
      <c r="G482" s="46">
        <f t="shared" si="90"/>
        <v>400</v>
      </c>
      <c r="H482" s="46">
        <f t="shared" si="90"/>
        <v>400</v>
      </c>
    </row>
    <row r="483" spans="1:8" s="28" customFormat="1" ht="12" x14ac:dyDescent="0.2">
      <c r="A483" s="35" t="s">
        <v>197</v>
      </c>
      <c r="B483" s="36" t="s">
        <v>467</v>
      </c>
      <c r="C483" s="36" t="s">
        <v>404</v>
      </c>
      <c r="D483" s="36" t="s">
        <v>173</v>
      </c>
      <c r="E483" s="36" t="s">
        <v>198</v>
      </c>
      <c r="F483" s="98">
        <v>400</v>
      </c>
      <c r="G483" s="98">
        <v>400</v>
      </c>
      <c r="H483" s="98">
        <v>400</v>
      </c>
    </row>
    <row r="484" spans="1:8" s="28" customFormat="1" ht="24" x14ac:dyDescent="0.2">
      <c r="A484" s="29" t="s">
        <v>468</v>
      </c>
      <c r="B484" s="30" t="s">
        <v>469</v>
      </c>
      <c r="C484" s="30"/>
      <c r="D484" s="30"/>
      <c r="E484" s="30"/>
      <c r="F484" s="31">
        <f t="shared" ref="F484:H487" si="91">F485</f>
        <v>500</v>
      </c>
      <c r="G484" s="31">
        <f t="shared" si="91"/>
        <v>500</v>
      </c>
      <c r="H484" s="31">
        <f t="shared" si="91"/>
        <v>500</v>
      </c>
    </row>
    <row r="485" spans="1:8" s="28" customFormat="1" ht="12" x14ac:dyDescent="0.2">
      <c r="A485" s="50" t="s">
        <v>446</v>
      </c>
      <c r="B485" s="30" t="s">
        <v>469</v>
      </c>
      <c r="C485" s="30" t="s">
        <v>404</v>
      </c>
      <c r="D485" s="30"/>
      <c r="E485" s="30"/>
      <c r="F485" s="31">
        <f t="shared" si="91"/>
        <v>500</v>
      </c>
      <c r="G485" s="31">
        <f t="shared" si="91"/>
        <v>500</v>
      </c>
      <c r="H485" s="31">
        <f t="shared" si="91"/>
        <v>500</v>
      </c>
    </row>
    <row r="486" spans="1:8" s="28" customFormat="1" ht="12" x14ac:dyDescent="0.2">
      <c r="A486" s="50" t="s">
        <v>447</v>
      </c>
      <c r="B486" s="30" t="s">
        <v>469</v>
      </c>
      <c r="C486" s="30" t="s">
        <v>404</v>
      </c>
      <c r="D486" s="30" t="s">
        <v>173</v>
      </c>
      <c r="E486" s="30"/>
      <c r="F486" s="31">
        <f t="shared" si="91"/>
        <v>500</v>
      </c>
      <c r="G486" s="31">
        <f t="shared" si="91"/>
        <v>500</v>
      </c>
      <c r="H486" s="31">
        <f t="shared" si="91"/>
        <v>500</v>
      </c>
    </row>
    <row r="487" spans="1:8" s="28" customFormat="1" ht="12" x14ac:dyDescent="0.2">
      <c r="A487" s="35" t="s">
        <v>356</v>
      </c>
      <c r="B487" s="36" t="s">
        <v>469</v>
      </c>
      <c r="C487" s="36" t="s">
        <v>404</v>
      </c>
      <c r="D487" s="36" t="s">
        <v>173</v>
      </c>
      <c r="E487" s="36" t="s">
        <v>357</v>
      </c>
      <c r="F487" s="37">
        <f t="shared" si="91"/>
        <v>500</v>
      </c>
      <c r="G487" s="37">
        <f t="shared" si="91"/>
        <v>500</v>
      </c>
      <c r="H487" s="37">
        <f t="shared" si="91"/>
        <v>500</v>
      </c>
    </row>
    <row r="488" spans="1:8" s="28" customFormat="1" ht="24" x14ac:dyDescent="0.2">
      <c r="A488" s="68" t="s">
        <v>470</v>
      </c>
      <c r="B488" s="36" t="s">
        <v>469</v>
      </c>
      <c r="C488" s="36" t="s">
        <v>404</v>
      </c>
      <c r="D488" s="36" t="s">
        <v>173</v>
      </c>
      <c r="E488" s="36" t="s">
        <v>471</v>
      </c>
      <c r="F488" s="98">
        <v>500</v>
      </c>
      <c r="G488" s="98">
        <v>500</v>
      </c>
      <c r="H488" s="98">
        <v>500</v>
      </c>
    </row>
    <row r="489" spans="1:8" s="28" customFormat="1" ht="12" x14ac:dyDescent="0.2">
      <c r="A489" s="50" t="s">
        <v>472</v>
      </c>
      <c r="B489" s="30" t="s">
        <v>473</v>
      </c>
      <c r="C489" s="30"/>
      <c r="D489" s="30"/>
      <c r="E489" s="30"/>
      <c r="F489" s="31">
        <f t="shared" ref="F489:G492" si="92">F490</f>
        <v>2397.06</v>
      </c>
      <c r="G489" s="45">
        <f t="shared" si="92"/>
        <v>0</v>
      </c>
      <c r="H489" s="45">
        <f>H490</f>
        <v>0</v>
      </c>
    </row>
    <row r="490" spans="1:8" s="28" customFormat="1" ht="12" x14ac:dyDescent="0.2">
      <c r="A490" s="50" t="s">
        <v>446</v>
      </c>
      <c r="B490" s="30" t="s">
        <v>473</v>
      </c>
      <c r="C490" s="30" t="s">
        <v>404</v>
      </c>
      <c r="D490" s="30"/>
      <c r="E490" s="30"/>
      <c r="F490" s="31">
        <f t="shared" si="92"/>
        <v>2397.06</v>
      </c>
      <c r="G490" s="45">
        <f t="shared" si="92"/>
        <v>0</v>
      </c>
      <c r="H490" s="45">
        <f>H491</f>
        <v>0</v>
      </c>
    </row>
    <row r="491" spans="1:8" s="28" customFormat="1" ht="12" x14ac:dyDescent="0.2">
      <c r="A491" s="50" t="s">
        <v>447</v>
      </c>
      <c r="B491" s="30" t="s">
        <v>473</v>
      </c>
      <c r="C491" s="30" t="s">
        <v>404</v>
      </c>
      <c r="D491" s="30" t="s">
        <v>173</v>
      </c>
      <c r="E491" s="30"/>
      <c r="F491" s="31">
        <f t="shared" si="92"/>
        <v>2397.06</v>
      </c>
      <c r="G491" s="45">
        <f t="shared" si="92"/>
        <v>0</v>
      </c>
      <c r="H491" s="45">
        <f>H492</f>
        <v>0</v>
      </c>
    </row>
    <row r="492" spans="1:8" s="28" customFormat="1" ht="12" x14ac:dyDescent="0.2">
      <c r="A492" s="35" t="s">
        <v>195</v>
      </c>
      <c r="B492" s="36" t="s">
        <v>473</v>
      </c>
      <c r="C492" s="36" t="s">
        <v>404</v>
      </c>
      <c r="D492" s="36" t="s">
        <v>173</v>
      </c>
      <c r="E492" s="36" t="s">
        <v>196</v>
      </c>
      <c r="F492" s="37">
        <f t="shared" si="92"/>
        <v>2397.06</v>
      </c>
      <c r="G492" s="46">
        <f t="shared" si="92"/>
        <v>0</v>
      </c>
      <c r="H492" s="46">
        <f>H493</f>
        <v>0</v>
      </c>
    </row>
    <row r="493" spans="1:8" s="28" customFormat="1" ht="12" x14ac:dyDescent="0.2">
      <c r="A493" s="35" t="s">
        <v>197</v>
      </c>
      <c r="B493" s="36" t="s">
        <v>473</v>
      </c>
      <c r="C493" s="36" t="s">
        <v>404</v>
      </c>
      <c r="D493" s="36" t="s">
        <v>173</v>
      </c>
      <c r="E493" s="36" t="s">
        <v>198</v>
      </c>
      <c r="F493" s="37">
        <v>2397.06</v>
      </c>
      <c r="G493" s="46">
        <v>0</v>
      </c>
      <c r="H493" s="46">
        <v>0</v>
      </c>
    </row>
    <row r="494" spans="1:8" s="28" customFormat="1" ht="16.5" customHeight="1" x14ac:dyDescent="0.2">
      <c r="A494" s="113" t="s">
        <v>798</v>
      </c>
      <c r="B494" s="87" t="s">
        <v>442</v>
      </c>
      <c r="C494" s="65"/>
      <c r="D494" s="65"/>
      <c r="E494" s="65"/>
      <c r="F494" s="33">
        <f>F495+F501+F507+F513+F518+F523</f>
        <v>259498.51285</v>
      </c>
      <c r="G494" s="33">
        <f>G495+G501+G507+G513+G518+G523</f>
        <v>209604</v>
      </c>
      <c r="H494" s="33">
        <f>H495+H501+H507+H513+H518+H523</f>
        <v>212771</v>
      </c>
    </row>
    <row r="495" spans="1:8" s="28" customFormat="1" ht="24" x14ac:dyDescent="0.2">
      <c r="A495" s="75" t="s">
        <v>443</v>
      </c>
      <c r="B495" s="30" t="s">
        <v>444</v>
      </c>
      <c r="C495" s="30"/>
      <c r="D495" s="30"/>
      <c r="E495" s="30"/>
      <c r="F495" s="31">
        <f t="shared" ref="F495:H499" si="93">F496</f>
        <v>118245.9</v>
      </c>
      <c r="G495" s="31">
        <f t="shared" si="93"/>
        <v>102045.9</v>
      </c>
      <c r="H495" s="31">
        <f t="shared" si="93"/>
        <v>102045.9</v>
      </c>
    </row>
    <row r="496" spans="1:8" s="28" customFormat="1" ht="12" x14ac:dyDescent="0.2">
      <c r="A496" s="148" t="s">
        <v>374</v>
      </c>
      <c r="B496" s="30" t="s">
        <v>444</v>
      </c>
      <c r="C496" s="30" t="s">
        <v>375</v>
      </c>
      <c r="D496" s="30"/>
      <c r="E496" s="30"/>
      <c r="F496" s="31">
        <f t="shared" si="93"/>
        <v>118245.9</v>
      </c>
      <c r="G496" s="31">
        <f t="shared" si="93"/>
        <v>102045.9</v>
      </c>
      <c r="H496" s="31">
        <f t="shared" si="93"/>
        <v>102045.9</v>
      </c>
    </row>
    <row r="497" spans="1:8" s="28" customFormat="1" ht="12" x14ac:dyDescent="0.2">
      <c r="A497" s="148" t="s">
        <v>799</v>
      </c>
      <c r="B497" s="30" t="s">
        <v>444</v>
      </c>
      <c r="C497" s="30" t="s">
        <v>375</v>
      </c>
      <c r="D497" s="30" t="s">
        <v>283</v>
      </c>
      <c r="E497" s="30"/>
      <c r="F497" s="31">
        <f t="shared" si="93"/>
        <v>118245.9</v>
      </c>
      <c r="G497" s="31">
        <f t="shared" si="93"/>
        <v>102045.9</v>
      </c>
      <c r="H497" s="31">
        <f t="shared" si="93"/>
        <v>102045.9</v>
      </c>
    </row>
    <row r="498" spans="1:8" s="28" customFormat="1" ht="24" x14ac:dyDescent="0.2">
      <c r="A498" s="93" t="s">
        <v>445</v>
      </c>
      <c r="B498" s="49" t="s">
        <v>444</v>
      </c>
      <c r="C498" s="49" t="s">
        <v>375</v>
      </c>
      <c r="D498" s="49" t="s">
        <v>283</v>
      </c>
      <c r="E498" s="49"/>
      <c r="F498" s="53">
        <f t="shared" si="93"/>
        <v>118245.9</v>
      </c>
      <c r="G498" s="53">
        <f t="shared" si="93"/>
        <v>102045.9</v>
      </c>
      <c r="H498" s="53">
        <f t="shared" si="93"/>
        <v>102045.9</v>
      </c>
    </row>
    <row r="499" spans="1:8" s="28" customFormat="1" ht="12" x14ac:dyDescent="0.2">
      <c r="A499" s="35" t="s">
        <v>356</v>
      </c>
      <c r="B499" s="36" t="s">
        <v>444</v>
      </c>
      <c r="C499" s="36" t="s">
        <v>375</v>
      </c>
      <c r="D499" s="36" t="s">
        <v>283</v>
      </c>
      <c r="E499" s="36" t="s">
        <v>357</v>
      </c>
      <c r="F499" s="37">
        <f t="shared" si="93"/>
        <v>118245.9</v>
      </c>
      <c r="G499" s="37">
        <f t="shared" si="93"/>
        <v>102045.9</v>
      </c>
      <c r="H499" s="37">
        <f t="shared" si="93"/>
        <v>102045.9</v>
      </c>
    </row>
    <row r="500" spans="1:8" s="28" customFormat="1" ht="13.5" customHeight="1" x14ac:dyDescent="0.2">
      <c r="A500" s="35" t="s">
        <v>358</v>
      </c>
      <c r="B500" s="36" t="s">
        <v>444</v>
      </c>
      <c r="C500" s="36" t="s">
        <v>375</v>
      </c>
      <c r="D500" s="36" t="s">
        <v>283</v>
      </c>
      <c r="E500" s="36" t="s">
        <v>359</v>
      </c>
      <c r="F500" s="98">
        <f>102045.9+15500+700</f>
        <v>118245.9</v>
      </c>
      <c r="G500" s="98">
        <v>102045.9</v>
      </c>
      <c r="H500" s="98">
        <v>102045.9</v>
      </c>
    </row>
    <row r="501" spans="1:8" s="28" customFormat="1" ht="12" x14ac:dyDescent="0.2">
      <c r="A501" s="29" t="s">
        <v>474</v>
      </c>
      <c r="B501" s="30" t="s">
        <v>475</v>
      </c>
      <c r="C501" s="30"/>
      <c r="D501" s="30"/>
      <c r="E501" s="30"/>
      <c r="F501" s="31">
        <f t="shared" ref="F501:H505" si="94">F502</f>
        <v>39309.1</v>
      </c>
      <c r="G501" s="31">
        <f t="shared" si="94"/>
        <v>39309.1</v>
      </c>
      <c r="H501" s="31">
        <f t="shared" si="94"/>
        <v>39309.1</v>
      </c>
    </row>
    <row r="502" spans="1:8" s="28" customFormat="1" ht="15" customHeight="1" x14ac:dyDescent="0.2">
      <c r="A502" s="93" t="s">
        <v>476</v>
      </c>
      <c r="B502" s="49" t="s">
        <v>477</v>
      </c>
      <c r="C502" s="49"/>
      <c r="D502" s="49"/>
      <c r="E502" s="40"/>
      <c r="F502" s="53">
        <f t="shared" si="94"/>
        <v>39309.1</v>
      </c>
      <c r="G502" s="53">
        <f t="shared" si="94"/>
        <v>39309.1</v>
      </c>
      <c r="H502" s="53">
        <f t="shared" si="94"/>
        <v>39309.1</v>
      </c>
    </row>
    <row r="503" spans="1:8" s="28" customFormat="1" ht="12" x14ac:dyDescent="0.2">
      <c r="A503" s="50" t="s">
        <v>446</v>
      </c>
      <c r="B503" s="30" t="s">
        <v>477</v>
      </c>
      <c r="C503" s="30" t="s">
        <v>404</v>
      </c>
      <c r="D503" s="49"/>
      <c r="E503" s="40"/>
      <c r="F503" s="31">
        <f t="shared" si="94"/>
        <v>39309.1</v>
      </c>
      <c r="G503" s="31">
        <f t="shared" si="94"/>
        <v>39309.1</v>
      </c>
      <c r="H503" s="31">
        <f t="shared" si="94"/>
        <v>39309.1</v>
      </c>
    </row>
    <row r="504" spans="1:8" s="28" customFormat="1" ht="12" x14ac:dyDescent="0.2">
      <c r="A504" s="29" t="s">
        <v>447</v>
      </c>
      <c r="B504" s="30" t="s">
        <v>477</v>
      </c>
      <c r="C504" s="30" t="s">
        <v>404</v>
      </c>
      <c r="D504" s="30" t="s">
        <v>173</v>
      </c>
      <c r="E504" s="40"/>
      <c r="F504" s="31">
        <f t="shared" si="94"/>
        <v>39309.1</v>
      </c>
      <c r="G504" s="31">
        <f t="shared" si="94"/>
        <v>39309.1</v>
      </c>
      <c r="H504" s="31">
        <f t="shared" si="94"/>
        <v>39309.1</v>
      </c>
    </row>
    <row r="505" spans="1:8" s="28" customFormat="1" ht="12" x14ac:dyDescent="0.2">
      <c r="A505" s="35" t="s">
        <v>356</v>
      </c>
      <c r="B505" s="36" t="s">
        <v>477</v>
      </c>
      <c r="C505" s="36" t="s">
        <v>404</v>
      </c>
      <c r="D505" s="36" t="s">
        <v>173</v>
      </c>
      <c r="E505" s="36" t="s">
        <v>357</v>
      </c>
      <c r="F505" s="37">
        <f t="shared" si="94"/>
        <v>39309.1</v>
      </c>
      <c r="G505" s="37">
        <f t="shared" si="94"/>
        <v>39309.1</v>
      </c>
      <c r="H505" s="37">
        <f t="shared" si="94"/>
        <v>39309.1</v>
      </c>
    </row>
    <row r="506" spans="1:8" s="28" customFormat="1" ht="12" x14ac:dyDescent="0.2">
      <c r="A506" s="35" t="s">
        <v>358</v>
      </c>
      <c r="B506" s="36" t="s">
        <v>477</v>
      </c>
      <c r="C506" s="36" t="s">
        <v>404</v>
      </c>
      <c r="D506" s="36" t="s">
        <v>173</v>
      </c>
      <c r="E506" s="36" t="s">
        <v>359</v>
      </c>
      <c r="F506" s="98">
        <v>39309.1</v>
      </c>
      <c r="G506" s="98">
        <v>39309.1</v>
      </c>
      <c r="H506" s="98">
        <v>39309.1</v>
      </c>
    </row>
    <row r="507" spans="1:8" s="28" customFormat="1" ht="24" x14ac:dyDescent="0.2">
      <c r="A507" s="29" t="s">
        <v>478</v>
      </c>
      <c r="B507" s="30" t="s">
        <v>479</v>
      </c>
      <c r="C507" s="30"/>
      <c r="D507" s="30"/>
      <c r="E507" s="30"/>
      <c r="F507" s="31">
        <f t="shared" ref="F507:H511" si="95">F508</f>
        <v>56516.242790000004</v>
      </c>
      <c r="G507" s="31">
        <f t="shared" si="95"/>
        <v>22446.400000000001</v>
      </c>
      <c r="H507" s="31">
        <f t="shared" si="95"/>
        <v>22446.400000000001</v>
      </c>
    </row>
    <row r="508" spans="1:8" s="28" customFormat="1" ht="15.75" customHeight="1" x14ac:dyDescent="0.2">
      <c r="A508" s="52" t="s">
        <v>480</v>
      </c>
      <c r="B508" s="49" t="s">
        <v>481</v>
      </c>
      <c r="C508" s="49"/>
      <c r="D508" s="49"/>
      <c r="E508" s="49"/>
      <c r="F508" s="53">
        <f t="shared" si="95"/>
        <v>56516.242790000004</v>
      </c>
      <c r="G508" s="53">
        <f t="shared" si="95"/>
        <v>22446.400000000001</v>
      </c>
      <c r="H508" s="53">
        <f t="shared" si="95"/>
        <v>22446.400000000001</v>
      </c>
    </row>
    <row r="509" spans="1:8" s="28" customFormat="1" ht="12" x14ac:dyDescent="0.2">
      <c r="A509" s="50" t="s">
        <v>446</v>
      </c>
      <c r="B509" s="30" t="s">
        <v>481</v>
      </c>
      <c r="C509" s="30" t="s">
        <v>404</v>
      </c>
      <c r="D509" s="49"/>
      <c r="E509" s="49"/>
      <c r="F509" s="37">
        <f t="shared" si="95"/>
        <v>56516.242790000004</v>
      </c>
      <c r="G509" s="37">
        <f t="shared" si="95"/>
        <v>22446.400000000001</v>
      </c>
      <c r="H509" s="37">
        <f t="shared" si="95"/>
        <v>22446.400000000001</v>
      </c>
    </row>
    <row r="510" spans="1:8" s="28" customFormat="1" ht="12" x14ac:dyDescent="0.2">
      <c r="A510" s="29" t="s">
        <v>447</v>
      </c>
      <c r="B510" s="30" t="s">
        <v>481</v>
      </c>
      <c r="C510" s="30" t="s">
        <v>404</v>
      </c>
      <c r="D510" s="30" t="s">
        <v>173</v>
      </c>
      <c r="E510" s="49"/>
      <c r="F510" s="37">
        <f t="shared" si="95"/>
        <v>56516.242790000004</v>
      </c>
      <c r="G510" s="37">
        <f t="shared" si="95"/>
        <v>22446.400000000001</v>
      </c>
      <c r="H510" s="37">
        <f t="shared" si="95"/>
        <v>22446.400000000001</v>
      </c>
    </row>
    <row r="511" spans="1:8" s="28" customFormat="1" ht="12" x14ac:dyDescent="0.2">
      <c r="A511" s="35" t="s">
        <v>356</v>
      </c>
      <c r="B511" s="36" t="s">
        <v>481</v>
      </c>
      <c r="C511" s="36" t="s">
        <v>404</v>
      </c>
      <c r="D511" s="36" t="s">
        <v>173</v>
      </c>
      <c r="E511" s="36" t="s">
        <v>357</v>
      </c>
      <c r="F511" s="37">
        <f t="shared" si="95"/>
        <v>56516.242790000004</v>
      </c>
      <c r="G511" s="37">
        <f t="shared" si="95"/>
        <v>22446.400000000001</v>
      </c>
      <c r="H511" s="37">
        <f t="shared" si="95"/>
        <v>22446.400000000001</v>
      </c>
    </row>
    <row r="512" spans="1:8" s="28" customFormat="1" ht="12" x14ac:dyDescent="0.2">
      <c r="A512" s="35" t="s">
        <v>358</v>
      </c>
      <c r="B512" s="36" t="s">
        <v>481</v>
      </c>
      <c r="C512" s="36" t="s">
        <v>404</v>
      </c>
      <c r="D512" s="36" t="s">
        <v>173</v>
      </c>
      <c r="E512" s="36" t="s">
        <v>359</v>
      </c>
      <c r="F512" s="98">
        <f>2660+2117.2+1891.8+15777.4+2025.63148-2000+13000+5000+1000+4161.53131+600+7282.68+500+2500</f>
        <v>56516.242790000004</v>
      </c>
      <c r="G512" s="98">
        <f>2660+2117.2+1891.8+15777.4</f>
        <v>22446.400000000001</v>
      </c>
      <c r="H512" s="98">
        <f>2660+2117.2+1891.8+15777.4</f>
        <v>22446.400000000001</v>
      </c>
    </row>
    <row r="513" spans="1:8" s="28" customFormat="1" ht="24" x14ac:dyDescent="0.2">
      <c r="A513" s="129" t="s">
        <v>800</v>
      </c>
      <c r="B513" s="83" t="s">
        <v>483</v>
      </c>
      <c r="C513" s="83"/>
      <c r="D513" s="83"/>
      <c r="E513" s="83"/>
      <c r="F513" s="145">
        <f t="shared" ref="F513:H516" si="96">F514</f>
        <v>45136</v>
      </c>
      <c r="G513" s="145">
        <f t="shared" si="96"/>
        <v>45511.3</v>
      </c>
      <c r="H513" s="145">
        <f t="shared" si="96"/>
        <v>48788.3</v>
      </c>
    </row>
    <row r="514" spans="1:8" s="28" customFormat="1" ht="12" x14ac:dyDescent="0.2">
      <c r="A514" s="148" t="s">
        <v>446</v>
      </c>
      <c r="B514" s="74" t="s">
        <v>483</v>
      </c>
      <c r="C514" s="74" t="s">
        <v>404</v>
      </c>
      <c r="D514" s="91"/>
      <c r="E514" s="83"/>
      <c r="F514" s="127">
        <f t="shared" si="96"/>
        <v>45136</v>
      </c>
      <c r="G514" s="127">
        <f t="shared" si="96"/>
        <v>45511.3</v>
      </c>
      <c r="H514" s="127">
        <f t="shared" si="96"/>
        <v>48788.3</v>
      </c>
    </row>
    <row r="515" spans="1:8" s="28" customFormat="1" ht="12" x14ac:dyDescent="0.2">
      <c r="A515" s="75" t="s">
        <v>447</v>
      </c>
      <c r="B515" s="74" t="s">
        <v>483</v>
      </c>
      <c r="C515" s="74" t="s">
        <v>404</v>
      </c>
      <c r="D515" s="74" t="s">
        <v>173</v>
      </c>
      <c r="E515" s="83"/>
      <c r="F515" s="127">
        <f t="shared" si="96"/>
        <v>45136</v>
      </c>
      <c r="G515" s="127">
        <f t="shared" si="96"/>
        <v>45511.3</v>
      </c>
      <c r="H515" s="127">
        <f t="shared" si="96"/>
        <v>48788.3</v>
      </c>
    </row>
    <row r="516" spans="1:8" s="28" customFormat="1" ht="12" x14ac:dyDescent="0.2">
      <c r="A516" s="73" t="s">
        <v>356</v>
      </c>
      <c r="B516" s="12" t="s">
        <v>483</v>
      </c>
      <c r="C516" s="12" t="s">
        <v>404</v>
      </c>
      <c r="D516" s="12" t="s">
        <v>173</v>
      </c>
      <c r="E516" s="12" t="s">
        <v>357</v>
      </c>
      <c r="F516" s="115">
        <f t="shared" si="96"/>
        <v>45136</v>
      </c>
      <c r="G516" s="115">
        <f t="shared" si="96"/>
        <v>45511.3</v>
      </c>
      <c r="H516" s="115">
        <f t="shared" si="96"/>
        <v>48788.3</v>
      </c>
    </row>
    <row r="517" spans="1:8" s="28" customFormat="1" ht="12" x14ac:dyDescent="0.2">
      <c r="A517" s="73" t="s">
        <v>358</v>
      </c>
      <c r="B517" s="12" t="s">
        <v>483</v>
      </c>
      <c r="C517" s="12" t="s">
        <v>404</v>
      </c>
      <c r="D517" s="12" t="s">
        <v>173</v>
      </c>
      <c r="E517" s="12" t="s">
        <v>359</v>
      </c>
      <c r="F517" s="115">
        <f>43030+3770-1664</f>
        <v>45136</v>
      </c>
      <c r="G517" s="115">
        <v>45511.3</v>
      </c>
      <c r="H517" s="115">
        <v>48788.3</v>
      </c>
    </row>
    <row r="518" spans="1:8" s="28" customFormat="1" ht="12" x14ac:dyDescent="0.2">
      <c r="A518" s="75" t="s">
        <v>484</v>
      </c>
      <c r="B518" s="74" t="s">
        <v>485</v>
      </c>
      <c r="C518" s="74"/>
      <c r="D518" s="74"/>
      <c r="E518" s="74"/>
      <c r="F518" s="127">
        <f>F519</f>
        <v>290.27006</v>
      </c>
      <c r="G518" s="127">
        <f>G521</f>
        <v>290.3</v>
      </c>
      <c r="H518" s="127">
        <f>H521</f>
        <v>180.3</v>
      </c>
    </row>
    <row r="519" spans="1:8" s="28" customFormat="1" ht="12" x14ac:dyDescent="0.2">
      <c r="A519" s="148" t="s">
        <v>446</v>
      </c>
      <c r="B519" s="74" t="s">
        <v>485</v>
      </c>
      <c r="C519" s="74" t="s">
        <v>404</v>
      </c>
      <c r="D519" s="74"/>
      <c r="E519" s="74"/>
      <c r="F519" s="127">
        <f>F520</f>
        <v>290.27006</v>
      </c>
      <c r="G519" s="127">
        <f t="shared" ref="G519:H521" si="97">G520</f>
        <v>290.3</v>
      </c>
      <c r="H519" s="127">
        <f t="shared" si="97"/>
        <v>180.3</v>
      </c>
    </row>
    <row r="520" spans="1:8" s="28" customFormat="1" ht="12" x14ac:dyDescent="0.2">
      <c r="A520" s="75" t="s">
        <v>447</v>
      </c>
      <c r="B520" s="74" t="s">
        <v>485</v>
      </c>
      <c r="C520" s="74" t="s">
        <v>404</v>
      </c>
      <c r="D520" s="74" t="s">
        <v>173</v>
      </c>
      <c r="E520" s="74"/>
      <c r="F520" s="127">
        <f>F521</f>
        <v>290.27006</v>
      </c>
      <c r="G520" s="127">
        <f t="shared" si="97"/>
        <v>290.3</v>
      </c>
      <c r="H520" s="127">
        <f t="shared" si="97"/>
        <v>180.3</v>
      </c>
    </row>
    <row r="521" spans="1:8" s="28" customFormat="1" ht="13.5" customHeight="1" x14ac:dyDescent="0.2">
      <c r="A521" s="73" t="s">
        <v>356</v>
      </c>
      <c r="B521" s="12" t="s">
        <v>485</v>
      </c>
      <c r="C521" s="12" t="s">
        <v>404</v>
      </c>
      <c r="D521" s="12" t="s">
        <v>173</v>
      </c>
      <c r="E521" s="12" t="s">
        <v>357</v>
      </c>
      <c r="F521" s="115">
        <f>F522</f>
        <v>290.27006</v>
      </c>
      <c r="G521" s="115">
        <f t="shared" si="97"/>
        <v>290.3</v>
      </c>
      <c r="H521" s="115">
        <f t="shared" si="97"/>
        <v>180.3</v>
      </c>
    </row>
    <row r="522" spans="1:8" s="28" customFormat="1" ht="12" x14ac:dyDescent="0.2">
      <c r="A522" s="73" t="s">
        <v>358</v>
      </c>
      <c r="B522" s="12" t="s">
        <v>485</v>
      </c>
      <c r="C522" s="12" t="s">
        <v>404</v>
      </c>
      <c r="D522" s="12" t="s">
        <v>173</v>
      </c>
      <c r="E522" s="12" t="s">
        <v>359</v>
      </c>
      <c r="F522" s="115">
        <v>290.27006</v>
      </c>
      <c r="G522" s="115">
        <f>316.8-26.5</f>
        <v>290.3</v>
      </c>
      <c r="H522" s="115">
        <v>180.3</v>
      </c>
    </row>
    <row r="523" spans="1:8" s="28" customFormat="1" ht="12" x14ac:dyDescent="0.2">
      <c r="A523" s="75" t="s">
        <v>486</v>
      </c>
      <c r="B523" s="74" t="s">
        <v>487</v>
      </c>
      <c r="C523" s="12"/>
      <c r="D523" s="12"/>
      <c r="E523" s="12"/>
      <c r="F523" s="127">
        <f t="shared" ref="F523:H526" si="98">F524</f>
        <v>1</v>
      </c>
      <c r="G523" s="127">
        <f t="shared" si="98"/>
        <v>1</v>
      </c>
      <c r="H523" s="127">
        <f t="shared" si="98"/>
        <v>1</v>
      </c>
    </row>
    <row r="524" spans="1:8" s="28" customFormat="1" ht="12" x14ac:dyDescent="0.2">
      <c r="A524" s="50" t="s">
        <v>446</v>
      </c>
      <c r="B524" s="30" t="s">
        <v>487</v>
      </c>
      <c r="C524" s="30" t="s">
        <v>404</v>
      </c>
      <c r="D524" s="30"/>
      <c r="E524" s="30"/>
      <c r="F524" s="45">
        <f t="shared" si="98"/>
        <v>1</v>
      </c>
      <c r="G524" s="45">
        <f t="shared" si="98"/>
        <v>1</v>
      </c>
      <c r="H524" s="45">
        <f t="shared" si="98"/>
        <v>1</v>
      </c>
    </row>
    <row r="525" spans="1:8" s="151" customFormat="1" ht="12" x14ac:dyDescent="0.2">
      <c r="A525" s="29" t="s">
        <v>447</v>
      </c>
      <c r="B525" s="30" t="s">
        <v>487</v>
      </c>
      <c r="C525" s="30" t="s">
        <v>404</v>
      </c>
      <c r="D525" s="30" t="s">
        <v>173</v>
      </c>
      <c r="E525" s="30"/>
      <c r="F525" s="45">
        <f t="shared" si="98"/>
        <v>1</v>
      </c>
      <c r="G525" s="45">
        <f t="shared" si="98"/>
        <v>1</v>
      </c>
      <c r="H525" s="45">
        <f t="shared" si="98"/>
        <v>1</v>
      </c>
    </row>
    <row r="526" spans="1:8" s="28" customFormat="1" ht="12" x14ac:dyDescent="0.2">
      <c r="A526" s="35" t="s">
        <v>356</v>
      </c>
      <c r="B526" s="36" t="s">
        <v>487</v>
      </c>
      <c r="C526" s="36" t="s">
        <v>404</v>
      </c>
      <c r="D526" s="36" t="s">
        <v>173</v>
      </c>
      <c r="E526" s="36" t="s">
        <v>357</v>
      </c>
      <c r="F526" s="46">
        <f>F527</f>
        <v>1</v>
      </c>
      <c r="G526" s="46">
        <f t="shared" si="98"/>
        <v>1</v>
      </c>
      <c r="H526" s="46">
        <f t="shared" si="98"/>
        <v>1</v>
      </c>
    </row>
    <row r="527" spans="1:8" s="28" customFormat="1" ht="12" x14ac:dyDescent="0.2">
      <c r="A527" s="35" t="s">
        <v>358</v>
      </c>
      <c r="B527" s="36" t="s">
        <v>487</v>
      </c>
      <c r="C527" s="36" t="s">
        <v>404</v>
      </c>
      <c r="D527" s="36" t="s">
        <v>173</v>
      </c>
      <c r="E527" s="36" t="s">
        <v>359</v>
      </c>
      <c r="F527" s="98">
        <v>1</v>
      </c>
      <c r="G527" s="98">
        <v>1</v>
      </c>
      <c r="H527" s="98">
        <v>1</v>
      </c>
    </row>
    <row r="528" spans="1:8" s="28" customFormat="1" ht="27" x14ac:dyDescent="0.2">
      <c r="A528" s="38" t="s">
        <v>489</v>
      </c>
      <c r="B528" s="32" t="s">
        <v>490</v>
      </c>
      <c r="C528" s="32"/>
      <c r="D528" s="32"/>
      <c r="E528" s="32"/>
      <c r="F528" s="33">
        <f t="shared" ref="F528:H529" si="99">F529</f>
        <v>8418.9179999999997</v>
      </c>
      <c r="G528" s="33">
        <f t="shared" si="99"/>
        <v>6410.5</v>
      </c>
      <c r="H528" s="33">
        <f t="shared" si="99"/>
        <v>6410.5</v>
      </c>
    </row>
    <row r="529" spans="1:8" s="28" customFormat="1" ht="16.5" customHeight="1" x14ac:dyDescent="0.2">
      <c r="A529" s="29" t="s">
        <v>491</v>
      </c>
      <c r="B529" s="30" t="s">
        <v>490</v>
      </c>
      <c r="C529" s="30"/>
      <c r="D529" s="30"/>
      <c r="E529" s="30"/>
      <c r="F529" s="31">
        <f t="shared" si="99"/>
        <v>8418.9179999999997</v>
      </c>
      <c r="G529" s="31">
        <f t="shared" si="99"/>
        <v>6410.5</v>
      </c>
      <c r="H529" s="31">
        <f t="shared" si="99"/>
        <v>6410.5</v>
      </c>
    </row>
    <row r="530" spans="1:8" s="28" customFormat="1" ht="24" x14ac:dyDescent="0.2">
      <c r="A530" s="39" t="s">
        <v>728</v>
      </c>
      <c r="B530" s="49" t="s">
        <v>490</v>
      </c>
      <c r="C530" s="40"/>
      <c r="D530" s="40"/>
      <c r="E530" s="40"/>
      <c r="F530" s="53">
        <f>F531+F536</f>
        <v>8418.9179999999997</v>
      </c>
      <c r="G530" s="53">
        <f>G531+G536</f>
        <v>6410.5</v>
      </c>
      <c r="H530" s="53">
        <f>H531+H536</f>
        <v>6410.5</v>
      </c>
    </row>
    <row r="531" spans="1:8" s="28" customFormat="1" ht="12" x14ac:dyDescent="0.2">
      <c r="A531" s="29" t="s">
        <v>492</v>
      </c>
      <c r="B531" s="30" t="s">
        <v>493</v>
      </c>
      <c r="C531" s="30"/>
      <c r="D531" s="30"/>
      <c r="E531" s="30"/>
      <c r="F531" s="31">
        <f t="shared" ref="F531:H534" si="100">F532</f>
        <v>7480.4880000000003</v>
      </c>
      <c r="G531" s="31">
        <f t="shared" si="100"/>
        <v>5504.5</v>
      </c>
      <c r="H531" s="31">
        <f t="shared" si="100"/>
        <v>5504.5</v>
      </c>
    </row>
    <row r="532" spans="1:8" s="28" customFormat="1" ht="12" x14ac:dyDescent="0.2">
      <c r="A532" s="29" t="s">
        <v>446</v>
      </c>
      <c r="B532" s="30" t="s">
        <v>493</v>
      </c>
      <c r="C532" s="30" t="s">
        <v>404</v>
      </c>
      <c r="D532" s="49"/>
      <c r="E532" s="30"/>
      <c r="F532" s="31">
        <f t="shared" si="100"/>
        <v>7480.4880000000003</v>
      </c>
      <c r="G532" s="31">
        <f t="shared" si="100"/>
        <v>5504.5</v>
      </c>
      <c r="H532" s="31">
        <f t="shared" si="100"/>
        <v>5504.5</v>
      </c>
    </row>
    <row r="533" spans="1:8" s="28" customFormat="1" ht="12" x14ac:dyDescent="0.2">
      <c r="A533" s="29" t="s">
        <v>488</v>
      </c>
      <c r="B533" s="30" t="s">
        <v>493</v>
      </c>
      <c r="C533" s="30" t="s">
        <v>404</v>
      </c>
      <c r="D533" s="30" t="s">
        <v>177</v>
      </c>
      <c r="E533" s="30"/>
      <c r="F533" s="31">
        <f t="shared" si="100"/>
        <v>7480.4880000000003</v>
      </c>
      <c r="G533" s="31">
        <f t="shared" si="100"/>
        <v>5504.5</v>
      </c>
      <c r="H533" s="31">
        <f t="shared" si="100"/>
        <v>5504.5</v>
      </c>
    </row>
    <row r="534" spans="1:8" s="28" customFormat="1" ht="36" x14ac:dyDescent="0.2">
      <c r="A534" s="35" t="s">
        <v>185</v>
      </c>
      <c r="B534" s="36" t="s">
        <v>493</v>
      </c>
      <c r="C534" s="36" t="s">
        <v>404</v>
      </c>
      <c r="D534" s="36" t="s">
        <v>177</v>
      </c>
      <c r="E534" s="36" t="s">
        <v>186</v>
      </c>
      <c r="F534" s="37">
        <f t="shared" si="100"/>
        <v>7480.4880000000003</v>
      </c>
      <c r="G534" s="37">
        <f t="shared" si="100"/>
        <v>5504.5</v>
      </c>
      <c r="H534" s="37">
        <f t="shared" si="100"/>
        <v>5504.5</v>
      </c>
    </row>
    <row r="535" spans="1:8" s="28" customFormat="1" ht="12" x14ac:dyDescent="0.2">
      <c r="A535" s="35" t="s">
        <v>187</v>
      </c>
      <c r="B535" s="36" t="s">
        <v>493</v>
      </c>
      <c r="C535" s="36" t="s">
        <v>404</v>
      </c>
      <c r="D535" s="36" t="s">
        <v>177</v>
      </c>
      <c r="E535" s="36" t="s">
        <v>188</v>
      </c>
      <c r="F535" s="98">
        <f>4101+1238.5+165+1975.988</f>
        <v>7480.4880000000003</v>
      </c>
      <c r="G535" s="98">
        <f t="shared" ref="G535:H535" si="101">4101+1238.5+165</f>
        <v>5504.5</v>
      </c>
      <c r="H535" s="98">
        <f t="shared" si="101"/>
        <v>5504.5</v>
      </c>
    </row>
    <row r="536" spans="1:8" s="28" customFormat="1" ht="12" x14ac:dyDescent="0.2">
      <c r="A536" s="29" t="s">
        <v>193</v>
      </c>
      <c r="B536" s="30" t="s">
        <v>494</v>
      </c>
      <c r="C536" s="30"/>
      <c r="D536" s="30"/>
      <c r="E536" s="30"/>
      <c r="F536" s="31">
        <f t="shared" ref="F536:H537" si="102">F537</f>
        <v>938.43</v>
      </c>
      <c r="G536" s="31">
        <f t="shared" si="102"/>
        <v>906</v>
      </c>
      <c r="H536" s="31">
        <f t="shared" si="102"/>
        <v>906</v>
      </c>
    </row>
    <row r="537" spans="1:8" s="28" customFormat="1" ht="12" x14ac:dyDescent="0.2">
      <c r="A537" s="29" t="s">
        <v>446</v>
      </c>
      <c r="B537" s="30" t="s">
        <v>494</v>
      </c>
      <c r="C537" s="30" t="s">
        <v>404</v>
      </c>
      <c r="D537" s="49"/>
      <c r="E537" s="30"/>
      <c r="F537" s="31">
        <f t="shared" si="102"/>
        <v>938.43</v>
      </c>
      <c r="G537" s="31">
        <f t="shared" si="102"/>
        <v>906</v>
      </c>
      <c r="H537" s="31">
        <f t="shared" si="102"/>
        <v>906</v>
      </c>
    </row>
    <row r="538" spans="1:8" s="151" customFormat="1" ht="12" x14ac:dyDescent="0.2">
      <c r="A538" s="29" t="s">
        <v>488</v>
      </c>
      <c r="B538" s="30" t="s">
        <v>494</v>
      </c>
      <c r="C538" s="30" t="s">
        <v>404</v>
      </c>
      <c r="D538" s="30" t="s">
        <v>177</v>
      </c>
      <c r="E538" s="30"/>
      <c r="F538" s="31">
        <f>F539+F541</f>
        <v>938.43</v>
      </c>
      <c r="G538" s="31">
        <f>G539+G541</f>
        <v>906</v>
      </c>
      <c r="H538" s="31">
        <f>H539+H541</f>
        <v>906</v>
      </c>
    </row>
    <row r="539" spans="1:8" s="28" customFormat="1" ht="12" x14ac:dyDescent="0.2">
      <c r="A539" s="35" t="s">
        <v>195</v>
      </c>
      <c r="B539" s="36" t="s">
        <v>494</v>
      </c>
      <c r="C539" s="36" t="s">
        <v>404</v>
      </c>
      <c r="D539" s="36" t="s">
        <v>177</v>
      </c>
      <c r="E539" s="36" t="s">
        <v>196</v>
      </c>
      <c r="F539" s="37">
        <f>F540</f>
        <v>888.43</v>
      </c>
      <c r="G539" s="37">
        <f>G540</f>
        <v>856</v>
      </c>
      <c r="H539" s="37">
        <f>H540</f>
        <v>856</v>
      </c>
    </row>
    <row r="540" spans="1:8" s="28" customFormat="1" ht="12" x14ac:dyDescent="0.2">
      <c r="A540" s="35" t="s">
        <v>197</v>
      </c>
      <c r="B540" s="36" t="s">
        <v>494</v>
      </c>
      <c r="C540" s="36" t="s">
        <v>404</v>
      </c>
      <c r="D540" s="36" t="s">
        <v>177</v>
      </c>
      <c r="E540" s="36" t="s">
        <v>198</v>
      </c>
      <c r="F540" s="98">
        <f>100+70+210+376+100+32.43</f>
        <v>888.43</v>
      </c>
      <c r="G540" s="98">
        <f>100+70+210+376+100</f>
        <v>856</v>
      </c>
      <c r="H540" s="98">
        <f>100+70+210+376+100</f>
        <v>856</v>
      </c>
    </row>
    <row r="541" spans="1:8" s="28" customFormat="1" ht="12" x14ac:dyDescent="0.2">
      <c r="A541" s="35" t="s">
        <v>199</v>
      </c>
      <c r="B541" s="36" t="s">
        <v>494</v>
      </c>
      <c r="C541" s="36" t="s">
        <v>404</v>
      </c>
      <c r="D541" s="36" t="s">
        <v>177</v>
      </c>
      <c r="E541" s="36" t="s">
        <v>200</v>
      </c>
      <c r="F541" s="98">
        <f>F542</f>
        <v>50</v>
      </c>
      <c r="G541" s="98">
        <f t="shared" ref="G541:H541" si="103">G542</f>
        <v>50</v>
      </c>
      <c r="H541" s="98">
        <f t="shared" si="103"/>
        <v>50</v>
      </c>
    </row>
    <row r="542" spans="1:8" s="28" customFormat="1" ht="12" x14ac:dyDescent="0.2">
      <c r="A542" s="35" t="s">
        <v>201</v>
      </c>
      <c r="B542" s="36" t="s">
        <v>494</v>
      </c>
      <c r="C542" s="36" t="s">
        <v>404</v>
      </c>
      <c r="D542" s="36" t="s">
        <v>177</v>
      </c>
      <c r="E542" s="36" t="s">
        <v>202</v>
      </c>
      <c r="F542" s="98">
        <v>50</v>
      </c>
      <c r="G542" s="98">
        <v>50</v>
      </c>
      <c r="H542" s="98">
        <v>50</v>
      </c>
    </row>
    <row r="543" spans="1:8" s="136" customFormat="1" ht="27" x14ac:dyDescent="0.2">
      <c r="A543" s="80" t="s">
        <v>586</v>
      </c>
      <c r="B543" s="79" t="s">
        <v>587</v>
      </c>
      <c r="C543" s="79"/>
      <c r="D543" s="79"/>
      <c r="E543" s="79"/>
      <c r="F543" s="78">
        <f>F544+F550+F556+F572+F585+F596+F670</f>
        <v>357776.45553000004</v>
      </c>
      <c r="G543" s="78">
        <f>G544+G550+G556+G572+G585+G596+G670</f>
        <v>480056</v>
      </c>
      <c r="H543" s="78">
        <f>H544+H550+H556+H572+H585+H596+H670</f>
        <v>297784.59999999998</v>
      </c>
    </row>
    <row r="544" spans="1:8" s="153" customFormat="1" ht="13.5" x14ac:dyDescent="0.2">
      <c r="A544" s="29" t="s">
        <v>597</v>
      </c>
      <c r="B544" s="30" t="s">
        <v>598</v>
      </c>
      <c r="C544" s="30"/>
      <c r="D544" s="30"/>
      <c r="E544" s="30"/>
      <c r="F544" s="33">
        <f>F545</f>
        <v>1500</v>
      </c>
      <c r="G544" s="33">
        <f t="shared" ref="G544:H544" si="104">G545</f>
        <v>1500</v>
      </c>
      <c r="H544" s="33">
        <f t="shared" si="104"/>
        <v>1000</v>
      </c>
    </row>
    <row r="545" spans="1:8" s="136" customFormat="1" ht="12" x14ac:dyDescent="0.2">
      <c r="A545" s="39" t="s">
        <v>599</v>
      </c>
      <c r="B545" s="83" t="s">
        <v>600</v>
      </c>
      <c r="C545" s="40"/>
      <c r="D545" s="40"/>
      <c r="E545" s="40"/>
      <c r="F545" s="41">
        <f t="shared" ref="F545:H548" si="105">F546</f>
        <v>1500</v>
      </c>
      <c r="G545" s="41">
        <f t="shared" si="105"/>
        <v>1500</v>
      </c>
      <c r="H545" s="41">
        <f t="shared" si="105"/>
        <v>1000</v>
      </c>
    </row>
    <row r="546" spans="1:8" s="136" customFormat="1" ht="12" x14ac:dyDescent="0.2">
      <c r="A546" s="29" t="s">
        <v>367</v>
      </c>
      <c r="B546" s="74" t="s">
        <v>600</v>
      </c>
      <c r="C546" s="30" t="s">
        <v>206</v>
      </c>
      <c r="D546" s="30"/>
      <c r="E546" s="30"/>
      <c r="F546" s="31">
        <f t="shared" si="105"/>
        <v>1500</v>
      </c>
      <c r="G546" s="31">
        <f t="shared" si="105"/>
        <v>1500</v>
      </c>
      <c r="H546" s="31">
        <f t="shared" si="105"/>
        <v>1000</v>
      </c>
    </row>
    <row r="547" spans="1:8" s="136" customFormat="1" ht="12" x14ac:dyDescent="0.2">
      <c r="A547" s="29" t="s">
        <v>801</v>
      </c>
      <c r="B547" s="74" t="s">
        <v>600</v>
      </c>
      <c r="C547" s="30" t="s">
        <v>206</v>
      </c>
      <c r="D547" s="30" t="s">
        <v>173</v>
      </c>
      <c r="E547" s="30"/>
      <c r="F547" s="31">
        <f t="shared" si="105"/>
        <v>1500</v>
      </c>
      <c r="G547" s="31">
        <f t="shared" si="105"/>
        <v>1500</v>
      </c>
      <c r="H547" s="31">
        <f t="shared" si="105"/>
        <v>1000</v>
      </c>
    </row>
    <row r="548" spans="1:8" s="136" customFormat="1" ht="12" x14ac:dyDescent="0.2">
      <c r="A548" s="35" t="s">
        <v>195</v>
      </c>
      <c r="B548" s="12" t="s">
        <v>600</v>
      </c>
      <c r="C548" s="36" t="s">
        <v>206</v>
      </c>
      <c r="D548" s="36" t="s">
        <v>173</v>
      </c>
      <c r="E548" s="36" t="s">
        <v>196</v>
      </c>
      <c r="F548" s="37">
        <f t="shared" si="105"/>
        <v>1500</v>
      </c>
      <c r="G548" s="37">
        <f t="shared" si="105"/>
        <v>1500</v>
      </c>
      <c r="H548" s="37">
        <f t="shared" si="105"/>
        <v>1000</v>
      </c>
    </row>
    <row r="549" spans="1:8" s="136" customFormat="1" ht="12" x14ac:dyDescent="0.2">
      <c r="A549" s="35" t="s">
        <v>197</v>
      </c>
      <c r="B549" s="12" t="s">
        <v>600</v>
      </c>
      <c r="C549" s="36" t="s">
        <v>206</v>
      </c>
      <c r="D549" s="36" t="s">
        <v>173</v>
      </c>
      <c r="E549" s="36" t="s">
        <v>198</v>
      </c>
      <c r="F549" s="98">
        <v>1500</v>
      </c>
      <c r="G549" s="98">
        <v>1500</v>
      </c>
      <c r="H549" s="98">
        <v>1000</v>
      </c>
    </row>
    <row r="550" spans="1:8" s="136" customFormat="1" ht="12" x14ac:dyDescent="0.2">
      <c r="A550" s="75" t="s">
        <v>593</v>
      </c>
      <c r="B550" s="30" t="s">
        <v>594</v>
      </c>
      <c r="C550" s="30"/>
      <c r="D550" s="30"/>
      <c r="E550" s="36"/>
      <c r="F550" s="31">
        <f>F551</f>
        <v>3774</v>
      </c>
      <c r="G550" s="31">
        <f t="shared" ref="G550:H550" si="106">G551</f>
        <v>8000</v>
      </c>
      <c r="H550" s="31">
        <f t="shared" si="106"/>
        <v>8000</v>
      </c>
    </row>
    <row r="551" spans="1:8" s="136" customFormat="1" ht="12" x14ac:dyDescent="0.2">
      <c r="A551" s="129" t="s">
        <v>595</v>
      </c>
      <c r="B551" s="83" t="s">
        <v>596</v>
      </c>
      <c r="C551" s="40"/>
      <c r="D551" s="40"/>
      <c r="E551" s="40"/>
      <c r="F551" s="41">
        <f t="shared" ref="F551:H554" si="107">F552</f>
        <v>3774</v>
      </c>
      <c r="G551" s="41">
        <f t="shared" si="107"/>
        <v>8000</v>
      </c>
      <c r="H551" s="41">
        <f t="shared" si="107"/>
        <v>8000</v>
      </c>
    </row>
    <row r="552" spans="1:8" s="153" customFormat="1" ht="12" x14ac:dyDescent="0.2">
      <c r="A552" s="57" t="s">
        <v>290</v>
      </c>
      <c r="B552" s="74" t="s">
        <v>596</v>
      </c>
      <c r="C552" s="30" t="s">
        <v>177</v>
      </c>
      <c r="D552" s="30"/>
      <c r="E552" s="30"/>
      <c r="F552" s="31">
        <f t="shared" si="107"/>
        <v>3774</v>
      </c>
      <c r="G552" s="31">
        <f t="shared" si="107"/>
        <v>8000</v>
      </c>
      <c r="H552" s="31">
        <f t="shared" si="107"/>
        <v>8000</v>
      </c>
    </row>
    <row r="553" spans="1:8" s="136" customFormat="1" ht="12" x14ac:dyDescent="0.2">
      <c r="A553" s="57" t="s">
        <v>787</v>
      </c>
      <c r="B553" s="74" t="s">
        <v>596</v>
      </c>
      <c r="C553" s="30" t="s">
        <v>177</v>
      </c>
      <c r="D553" s="30" t="s">
        <v>292</v>
      </c>
      <c r="E553" s="30"/>
      <c r="F553" s="31">
        <f t="shared" si="107"/>
        <v>3774</v>
      </c>
      <c r="G553" s="31">
        <f t="shared" si="107"/>
        <v>8000</v>
      </c>
      <c r="H553" s="31">
        <f t="shared" si="107"/>
        <v>8000</v>
      </c>
    </row>
    <row r="554" spans="1:8" s="136" customFormat="1" ht="12" x14ac:dyDescent="0.2">
      <c r="A554" s="35" t="s">
        <v>195</v>
      </c>
      <c r="B554" s="12" t="s">
        <v>596</v>
      </c>
      <c r="C554" s="36" t="s">
        <v>177</v>
      </c>
      <c r="D554" s="36" t="s">
        <v>292</v>
      </c>
      <c r="E554" s="36" t="s">
        <v>196</v>
      </c>
      <c r="F554" s="37">
        <f t="shared" si="107"/>
        <v>3774</v>
      </c>
      <c r="G554" s="37">
        <f t="shared" si="107"/>
        <v>8000</v>
      </c>
      <c r="H554" s="37">
        <f t="shared" si="107"/>
        <v>8000</v>
      </c>
    </row>
    <row r="555" spans="1:8" s="136" customFormat="1" ht="12" x14ac:dyDescent="0.2">
      <c r="A555" s="35" t="s">
        <v>197</v>
      </c>
      <c r="B555" s="12" t="s">
        <v>596</v>
      </c>
      <c r="C555" s="36" t="s">
        <v>177</v>
      </c>
      <c r="D555" s="36" t="s">
        <v>292</v>
      </c>
      <c r="E555" s="36" t="s">
        <v>198</v>
      </c>
      <c r="F555" s="98">
        <v>3774</v>
      </c>
      <c r="G555" s="98">
        <v>8000</v>
      </c>
      <c r="H555" s="98">
        <v>8000</v>
      </c>
    </row>
    <row r="556" spans="1:8" s="28" customFormat="1" ht="13.5" x14ac:dyDescent="0.2">
      <c r="A556" s="38" t="s">
        <v>623</v>
      </c>
      <c r="B556" s="32" t="s">
        <v>624</v>
      </c>
      <c r="C556" s="32"/>
      <c r="D556" s="32"/>
      <c r="E556" s="40"/>
      <c r="F556" s="33">
        <f>F557+F564+F569</f>
        <v>7313.5</v>
      </c>
      <c r="G556" s="33">
        <f>G557+G564+G569</f>
        <v>500</v>
      </c>
      <c r="H556" s="33">
        <f>H557+H564+H569</f>
        <v>21600</v>
      </c>
    </row>
    <row r="557" spans="1:8" s="151" customFormat="1" ht="12" x14ac:dyDescent="0.2">
      <c r="A557" s="75" t="s">
        <v>625</v>
      </c>
      <c r="B557" s="74" t="s">
        <v>626</v>
      </c>
      <c r="C557" s="74"/>
      <c r="D557" s="74"/>
      <c r="E557" s="12"/>
      <c r="F557" s="45">
        <f t="shared" ref="F557:H558" si="108">F558</f>
        <v>3000</v>
      </c>
      <c r="G557" s="45">
        <f t="shared" si="108"/>
        <v>0</v>
      </c>
      <c r="H557" s="45">
        <f t="shared" si="108"/>
        <v>21100</v>
      </c>
    </row>
    <row r="558" spans="1:8" s="28" customFormat="1" ht="12" x14ac:dyDescent="0.2">
      <c r="A558" s="75" t="s">
        <v>367</v>
      </c>
      <c r="B558" s="74" t="s">
        <v>626</v>
      </c>
      <c r="C558" s="74" t="s">
        <v>206</v>
      </c>
      <c r="D558" s="74"/>
      <c r="E558" s="12"/>
      <c r="F558" s="45">
        <f t="shared" si="108"/>
        <v>3000</v>
      </c>
      <c r="G558" s="45">
        <f t="shared" si="108"/>
        <v>0</v>
      </c>
      <c r="H558" s="45">
        <f t="shared" si="108"/>
        <v>21100</v>
      </c>
    </row>
    <row r="559" spans="1:8" s="28" customFormat="1" ht="12" x14ac:dyDescent="0.2">
      <c r="A559" s="75" t="s">
        <v>564</v>
      </c>
      <c r="B559" s="74" t="s">
        <v>626</v>
      </c>
      <c r="C559" s="74" t="s">
        <v>206</v>
      </c>
      <c r="D559" s="74" t="s">
        <v>352</v>
      </c>
      <c r="E559" s="12"/>
      <c r="F559" s="45">
        <f>F560+F562</f>
        <v>3000</v>
      </c>
      <c r="G559" s="45">
        <f>G560+G562</f>
        <v>0</v>
      </c>
      <c r="H559" s="45">
        <f>H560+H562</f>
        <v>21100</v>
      </c>
    </row>
    <row r="560" spans="1:8" s="28" customFormat="1" ht="12" x14ac:dyDescent="0.2">
      <c r="A560" s="73" t="s">
        <v>195</v>
      </c>
      <c r="B560" s="12" t="s">
        <v>626</v>
      </c>
      <c r="C560" s="138" t="s">
        <v>206</v>
      </c>
      <c r="D560" s="138" t="s">
        <v>352</v>
      </c>
      <c r="E560" s="12" t="s">
        <v>196</v>
      </c>
      <c r="F560" s="46">
        <f t="shared" ref="F560:H560" si="109">F561</f>
        <v>3000</v>
      </c>
      <c r="G560" s="46">
        <f t="shared" si="109"/>
        <v>0</v>
      </c>
      <c r="H560" s="46">
        <f t="shared" si="109"/>
        <v>3250</v>
      </c>
    </row>
    <row r="561" spans="1:8" s="136" customFormat="1" ht="13.5" customHeight="1" x14ac:dyDescent="0.2">
      <c r="A561" s="73" t="s">
        <v>197</v>
      </c>
      <c r="B561" s="12" t="s">
        <v>626</v>
      </c>
      <c r="C561" s="12" t="s">
        <v>206</v>
      </c>
      <c r="D561" s="12" t="s">
        <v>352</v>
      </c>
      <c r="E561" s="12" t="s">
        <v>198</v>
      </c>
      <c r="F561" s="115">
        <v>3000</v>
      </c>
      <c r="G561" s="115">
        <f>3100-3100</f>
        <v>0</v>
      </c>
      <c r="H561" s="115">
        <v>3250</v>
      </c>
    </row>
    <row r="562" spans="1:8" s="136" customFormat="1" ht="16.5" customHeight="1" x14ac:dyDescent="0.2">
      <c r="A562" s="73" t="s">
        <v>344</v>
      </c>
      <c r="B562" s="12" t="s">
        <v>626</v>
      </c>
      <c r="C562" s="138" t="s">
        <v>206</v>
      </c>
      <c r="D562" s="138" t="s">
        <v>352</v>
      </c>
      <c r="E562" s="12" t="s">
        <v>345</v>
      </c>
      <c r="F562" s="115">
        <f>F563</f>
        <v>0</v>
      </c>
      <c r="G562" s="115">
        <f>G563</f>
        <v>0</v>
      </c>
      <c r="H562" s="115">
        <f>H563</f>
        <v>17850</v>
      </c>
    </row>
    <row r="563" spans="1:8" s="153" customFormat="1" ht="12" x14ac:dyDescent="0.2">
      <c r="A563" s="73" t="s">
        <v>346</v>
      </c>
      <c r="B563" s="12" t="s">
        <v>626</v>
      </c>
      <c r="C563" s="12" t="s">
        <v>206</v>
      </c>
      <c r="D563" s="12" t="s">
        <v>352</v>
      </c>
      <c r="E563" s="12" t="s">
        <v>347</v>
      </c>
      <c r="F563" s="115">
        <v>0</v>
      </c>
      <c r="G563" s="115">
        <f>17000-17000</f>
        <v>0</v>
      </c>
      <c r="H563" s="115">
        <v>17850</v>
      </c>
    </row>
    <row r="564" spans="1:8" s="136" customFormat="1" ht="12" x14ac:dyDescent="0.2">
      <c r="A564" s="129" t="s">
        <v>627</v>
      </c>
      <c r="B564" s="40" t="s">
        <v>628</v>
      </c>
      <c r="C564" s="40"/>
      <c r="D564" s="40"/>
      <c r="E564" s="40"/>
      <c r="F564" s="47">
        <f t="shared" ref="F564:H567" si="110">F565</f>
        <v>313.5</v>
      </c>
      <c r="G564" s="47">
        <f t="shared" si="110"/>
        <v>500</v>
      </c>
      <c r="H564" s="47">
        <f t="shared" si="110"/>
        <v>500</v>
      </c>
    </row>
    <row r="565" spans="1:8" s="136" customFormat="1" ht="12" x14ac:dyDescent="0.2">
      <c r="A565" s="29" t="s">
        <v>367</v>
      </c>
      <c r="B565" s="30" t="s">
        <v>628</v>
      </c>
      <c r="C565" s="30" t="s">
        <v>206</v>
      </c>
      <c r="D565" s="30"/>
      <c r="E565" s="30"/>
      <c r="F565" s="45">
        <f t="shared" si="110"/>
        <v>313.5</v>
      </c>
      <c r="G565" s="45">
        <f t="shared" si="110"/>
        <v>500</v>
      </c>
      <c r="H565" s="45">
        <f t="shared" si="110"/>
        <v>500</v>
      </c>
    </row>
    <row r="566" spans="1:8" s="28" customFormat="1" ht="12" x14ac:dyDescent="0.2">
      <c r="A566" s="29" t="s">
        <v>564</v>
      </c>
      <c r="B566" s="30" t="s">
        <v>628</v>
      </c>
      <c r="C566" s="30" t="s">
        <v>206</v>
      </c>
      <c r="D566" s="30" t="s">
        <v>352</v>
      </c>
      <c r="E566" s="30"/>
      <c r="F566" s="45">
        <f t="shared" si="110"/>
        <v>313.5</v>
      </c>
      <c r="G566" s="45">
        <f t="shared" si="110"/>
        <v>500</v>
      </c>
      <c r="H566" s="45">
        <f t="shared" si="110"/>
        <v>500</v>
      </c>
    </row>
    <row r="567" spans="1:8" s="28" customFormat="1" ht="12" x14ac:dyDescent="0.2">
      <c r="A567" s="35" t="s">
        <v>195</v>
      </c>
      <c r="B567" s="36" t="s">
        <v>628</v>
      </c>
      <c r="C567" s="36" t="s">
        <v>206</v>
      </c>
      <c r="D567" s="36" t="s">
        <v>352</v>
      </c>
      <c r="E567" s="36" t="s">
        <v>196</v>
      </c>
      <c r="F567" s="46">
        <f t="shared" si="110"/>
        <v>313.5</v>
      </c>
      <c r="G567" s="46">
        <f t="shared" si="110"/>
        <v>500</v>
      </c>
      <c r="H567" s="46">
        <f t="shared" si="110"/>
        <v>500</v>
      </c>
    </row>
    <row r="568" spans="1:8" s="28" customFormat="1" ht="12" x14ac:dyDescent="0.2">
      <c r="A568" s="35" t="s">
        <v>197</v>
      </c>
      <c r="B568" s="36" t="s">
        <v>628</v>
      </c>
      <c r="C568" s="36" t="s">
        <v>206</v>
      </c>
      <c r="D568" s="36" t="s">
        <v>352</v>
      </c>
      <c r="E568" s="36" t="s">
        <v>198</v>
      </c>
      <c r="F568" s="98">
        <v>313.5</v>
      </c>
      <c r="G568" s="98">
        <v>500</v>
      </c>
      <c r="H568" s="98">
        <v>500</v>
      </c>
    </row>
    <row r="569" spans="1:8" s="28" customFormat="1" ht="14.25" customHeight="1" x14ac:dyDescent="0.2">
      <c r="A569" s="29" t="s">
        <v>629</v>
      </c>
      <c r="B569" s="30" t="s">
        <v>630</v>
      </c>
      <c r="C569" s="30" t="s">
        <v>206</v>
      </c>
      <c r="D569" s="30" t="s">
        <v>352</v>
      </c>
      <c r="E569" s="30"/>
      <c r="F569" s="100">
        <f t="shared" ref="F569:H570" si="111">F570</f>
        <v>4000</v>
      </c>
      <c r="G569" s="127">
        <f t="shared" si="111"/>
        <v>0</v>
      </c>
      <c r="H569" s="127">
        <f t="shared" si="111"/>
        <v>0</v>
      </c>
    </row>
    <row r="570" spans="1:8" s="28" customFormat="1" ht="12" x14ac:dyDescent="0.2">
      <c r="A570" s="35" t="s">
        <v>195</v>
      </c>
      <c r="B570" s="36" t="s">
        <v>630</v>
      </c>
      <c r="C570" s="36" t="s">
        <v>206</v>
      </c>
      <c r="D570" s="36" t="s">
        <v>352</v>
      </c>
      <c r="E570" s="36" t="s">
        <v>196</v>
      </c>
      <c r="F570" s="98">
        <f t="shared" si="111"/>
        <v>4000</v>
      </c>
      <c r="G570" s="115">
        <f t="shared" si="111"/>
        <v>0</v>
      </c>
      <c r="H570" s="115">
        <f t="shared" si="111"/>
        <v>0</v>
      </c>
    </row>
    <row r="571" spans="1:8" s="28" customFormat="1" ht="12" x14ac:dyDescent="0.2">
      <c r="A571" s="35" t="s">
        <v>197</v>
      </c>
      <c r="B571" s="36" t="s">
        <v>630</v>
      </c>
      <c r="C571" s="36" t="s">
        <v>206</v>
      </c>
      <c r="D571" s="36" t="s">
        <v>352</v>
      </c>
      <c r="E571" s="36" t="s">
        <v>198</v>
      </c>
      <c r="F571" s="98">
        <v>4000</v>
      </c>
      <c r="G571" s="115">
        <v>0</v>
      </c>
      <c r="H571" s="115">
        <v>0</v>
      </c>
    </row>
    <row r="572" spans="1:8" s="28" customFormat="1" ht="13.5" customHeight="1" x14ac:dyDescent="0.2">
      <c r="A572" s="129" t="s">
        <v>631</v>
      </c>
      <c r="B572" s="32" t="s">
        <v>632</v>
      </c>
      <c r="C572" s="32"/>
      <c r="D572" s="32"/>
      <c r="E572" s="65"/>
      <c r="F572" s="61">
        <f>F573+F580</f>
        <v>51331.1</v>
      </c>
      <c r="G572" s="61">
        <f>G573+G580</f>
        <v>252000</v>
      </c>
      <c r="H572" s="61">
        <f>H573+H580</f>
        <v>24300</v>
      </c>
    </row>
    <row r="573" spans="1:8" s="151" customFormat="1" ht="15.75" customHeight="1" x14ac:dyDescent="0.2">
      <c r="A573" s="39" t="s">
        <v>633</v>
      </c>
      <c r="B573" s="40" t="s">
        <v>634</v>
      </c>
      <c r="C573" s="40"/>
      <c r="D573" s="40"/>
      <c r="E573" s="49"/>
      <c r="F573" s="47">
        <f>F574</f>
        <v>23331.1</v>
      </c>
      <c r="G573" s="47">
        <f t="shared" ref="G573:H576" si="112">G574</f>
        <v>0</v>
      </c>
      <c r="H573" s="47">
        <f t="shared" si="112"/>
        <v>24300</v>
      </c>
    </row>
    <row r="574" spans="1:8" s="28" customFormat="1" ht="12" x14ac:dyDescent="0.2">
      <c r="A574" s="29" t="s">
        <v>367</v>
      </c>
      <c r="B574" s="30" t="s">
        <v>634</v>
      </c>
      <c r="C574" s="30" t="s">
        <v>206</v>
      </c>
      <c r="D574" s="30"/>
      <c r="E574" s="36"/>
      <c r="F574" s="45">
        <f>F575</f>
        <v>23331.1</v>
      </c>
      <c r="G574" s="45">
        <f t="shared" si="112"/>
        <v>0</v>
      </c>
      <c r="H574" s="45">
        <f t="shared" si="112"/>
        <v>24300</v>
      </c>
    </row>
    <row r="575" spans="1:8" s="28" customFormat="1" ht="12" x14ac:dyDescent="0.2">
      <c r="A575" s="29" t="s">
        <v>564</v>
      </c>
      <c r="B575" s="30" t="s">
        <v>634</v>
      </c>
      <c r="C575" s="30" t="s">
        <v>206</v>
      </c>
      <c r="D575" s="30" t="s">
        <v>352</v>
      </c>
      <c r="E575" s="36"/>
      <c r="F575" s="45">
        <f>F576+F578</f>
        <v>23331.1</v>
      </c>
      <c r="G575" s="45">
        <f>G576+G578</f>
        <v>0</v>
      </c>
      <c r="H575" s="45">
        <f>H576+H578</f>
        <v>24300</v>
      </c>
    </row>
    <row r="576" spans="1:8" s="28" customFormat="1" ht="12" x14ac:dyDescent="0.2">
      <c r="A576" s="35" t="s">
        <v>195</v>
      </c>
      <c r="B576" s="36" t="s">
        <v>634</v>
      </c>
      <c r="C576" s="36" t="s">
        <v>206</v>
      </c>
      <c r="D576" s="36" t="s">
        <v>352</v>
      </c>
      <c r="E576" s="36" t="s">
        <v>196</v>
      </c>
      <c r="F576" s="46">
        <f>F577</f>
        <v>8035</v>
      </c>
      <c r="G576" s="46">
        <f t="shared" si="112"/>
        <v>0</v>
      </c>
      <c r="H576" s="46">
        <f t="shared" si="112"/>
        <v>300</v>
      </c>
    </row>
    <row r="577" spans="1:8" s="28" customFormat="1" ht="12" x14ac:dyDescent="0.2">
      <c r="A577" s="35" t="s">
        <v>197</v>
      </c>
      <c r="B577" s="36" t="s">
        <v>634</v>
      </c>
      <c r="C577" s="36" t="s">
        <v>206</v>
      </c>
      <c r="D577" s="36" t="s">
        <v>352</v>
      </c>
      <c r="E577" s="36" t="s">
        <v>198</v>
      </c>
      <c r="F577" s="98">
        <f>1000+6000-6000+7035</f>
        <v>8035</v>
      </c>
      <c r="G577" s="115">
        <f>300-300</f>
        <v>0</v>
      </c>
      <c r="H577" s="115">
        <v>300</v>
      </c>
    </row>
    <row r="578" spans="1:8" s="151" customFormat="1" ht="12" x14ac:dyDescent="0.2">
      <c r="A578" s="35" t="s">
        <v>344</v>
      </c>
      <c r="B578" s="36" t="s">
        <v>634</v>
      </c>
      <c r="C578" s="36" t="s">
        <v>206</v>
      </c>
      <c r="D578" s="36" t="s">
        <v>352</v>
      </c>
      <c r="E578" s="36" t="s">
        <v>345</v>
      </c>
      <c r="F578" s="98">
        <f>F579</f>
        <v>15296.099999999999</v>
      </c>
      <c r="G578" s="115">
        <f t="shared" ref="G578:H578" si="113">G579</f>
        <v>0</v>
      </c>
      <c r="H578" s="98">
        <f t="shared" si="113"/>
        <v>24000</v>
      </c>
    </row>
    <row r="579" spans="1:8" s="28" customFormat="1" ht="12" x14ac:dyDescent="0.2">
      <c r="A579" s="35" t="s">
        <v>346</v>
      </c>
      <c r="B579" s="36" t="s">
        <v>634</v>
      </c>
      <c r="C579" s="36" t="s">
        <v>206</v>
      </c>
      <c r="D579" s="36" t="s">
        <v>352</v>
      </c>
      <c r="E579" s="36" t="s">
        <v>347</v>
      </c>
      <c r="F579" s="98">
        <f>14331.1+6000+2000-7035</f>
        <v>15296.099999999999</v>
      </c>
      <c r="G579" s="115">
        <f>20000-20000</f>
        <v>0</v>
      </c>
      <c r="H579" s="115">
        <v>24000</v>
      </c>
    </row>
    <row r="580" spans="1:8" s="28" customFormat="1" ht="14.25" customHeight="1" x14ac:dyDescent="0.2">
      <c r="A580" s="29" t="s">
        <v>635</v>
      </c>
      <c r="B580" s="30" t="s">
        <v>636</v>
      </c>
      <c r="C580" s="30"/>
      <c r="D580" s="30"/>
      <c r="E580" s="36"/>
      <c r="F580" s="31">
        <f t="shared" ref="F580:G583" si="114">F581</f>
        <v>28000</v>
      </c>
      <c r="G580" s="45">
        <f t="shared" si="114"/>
        <v>252000</v>
      </c>
      <c r="H580" s="45">
        <f>H581</f>
        <v>0</v>
      </c>
    </row>
    <row r="581" spans="1:8" s="28" customFormat="1" ht="12" x14ac:dyDescent="0.2">
      <c r="A581" s="29" t="s">
        <v>367</v>
      </c>
      <c r="B581" s="30" t="s">
        <v>636</v>
      </c>
      <c r="C581" s="30" t="s">
        <v>206</v>
      </c>
      <c r="D581" s="30" t="s">
        <v>352</v>
      </c>
      <c r="E581" s="36"/>
      <c r="F581" s="31">
        <f t="shared" si="114"/>
        <v>28000</v>
      </c>
      <c r="G581" s="45">
        <f t="shared" si="114"/>
        <v>252000</v>
      </c>
      <c r="H581" s="45">
        <f>H582</f>
        <v>0</v>
      </c>
    </row>
    <row r="582" spans="1:8" s="28" customFormat="1" ht="12" x14ac:dyDescent="0.2">
      <c r="A582" s="29" t="s">
        <v>564</v>
      </c>
      <c r="B582" s="30" t="s">
        <v>636</v>
      </c>
      <c r="C582" s="30" t="s">
        <v>206</v>
      </c>
      <c r="D582" s="30" t="s">
        <v>352</v>
      </c>
      <c r="E582" s="36"/>
      <c r="F582" s="31">
        <f t="shared" si="114"/>
        <v>28000</v>
      </c>
      <c r="G582" s="45">
        <f t="shared" si="114"/>
        <v>252000</v>
      </c>
      <c r="H582" s="45">
        <f>H583</f>
        <v>0</v>
      </c>
    </row>
    <row r="583" spans="1:8" s="28" customFormat="1" ht="12" x14ac:dyDescent="0.2">
      <c r="A583" s="35" t="s">
        <v>344</v>
      </c>
      <c r="B583" s="36" t="s">
        <v>636</v>
      </c>
      <c r="C583" s="36" t="s">
        <v>206</v>
      </c>
      <c r="D583" s="36" t="s">
        <v>352</v>
      </c>
      <c r="E583" s="36" t="s">
        <v>345</v>
      </c>
      <c r="F583" s="37">
        <f t="shared" si="114"/>
        <v>28000</v>
      </c>
      <c r="G583" s="46">
        <f t="shared" si="114"/>
        <v>252000</v>
      </c>
      <c r="H583" s="46">
        <f>H584</f>
        <v>0</v>
      </c>
    </row>
    <row r="584" spans="1:8" s="28" customFormat="1" ht="12" x14ac:dyDescent="0.2">
      <c r="A584" s="35" t="s">
        <v>346</v>
      </c>
      <c r="B584" s="36" t="s">
        <v>636</v>
      </c>
      <c r="C584" s="36" t="s">
        <v>206</v>
      </c>
      <c r="D584" s="36" t="s">
        <v>352</v>
      </c>
      <c r="E584" s="36" t="s">
        <v>347</v>
      </c>
      <c r="F584" s="37">
        <v>28000</v>
      </c>
      <c r="G584" s="46">
        <v>252000</v>
      </c>
      <c r="H584" s="46">
        <v>0</v>
      </c>
    </row>
    <row r="585" spans="1:8" s="28" customFormat="1" x14ac:dyDescent="0.2">
      <c r="A585" s="130" t="s">
        <v>601</v>
      </c>
      <c r="B585" s="133" t="s">
        <v>602</v>
      </c>
      <c r="C585" s="133"/>
      <c r="D585" s="133"/>
      <c r="E585" s="154"/>
      <c r="F585" s="64">
        <f>F586+F591</f>
        <v>12150</v>
      </c>
      <c r="G585" s="64">
        <f>G586+G591</f>
        <v>500</v>
      </c>
      <c r="H585" s="64">
        <f>H586+H591</f>
        <v>10500</v>
      </c>
    </row>
    <row r="586" spans="1:8" s="28" customFormat="1" ht="24" x14ac:dyDescent="0.2">
      <c r="A586" s="146" t="s">
        <v>603</v>
      </c>
      <c r="B586" s="40" t="s">
        <v>604</v>
      </c>
      <c r="C586" s="40"/>
      <c r="D586" s="40"/>
      <c r="E586" s="40"/>
      <c r="F586" s="41">
        <f t="shared" ref="F586:H589" si="115">F587</f>
        <v>1600</v>
      </c>
      <c r="G586" s="41">
        <f t="shared" si="115"/>
        <v>500</v>
      </c>
      <c r="H586" s="41">
        <f t="shared" si="115"/>
        <v>500</v>
      </c>
    </row>
    <row r="587" spans="1:8" s="28" customFormat="1" ht="12" x14ac:dyDescent="0.2">
      <c r="A587" s="29" t="s">
        <v>367</v>
      </c>
      <c r="B587" s="30" t="s">
        <v>604</v>
      </c>
      <c r="C587" s="30" t="s">
        <v>206</v>
      </c>
      <c r="D587" s="30"/>
      <c r="E587" s="30"/>
      <c r="F587" s="31">
        <f t="shared" si="115"/>
        <v>1600</v>
      </c>
      <c r="G587" s="31">
        <f t="shared" si="115"/>
        <v>500</v>
      </c>
      <c r="H587" s="31">
        <f t="shared" si="115"/>
        <v>500</v>
      </c>
    </row>
    <row r="588" spans="1:8" s="151" customFormat="1" ht="12" x14ac:dyDescent="0.2">
      <c r="A588" s="29" t="s">
        <v>561</v>
      </c>
      <c r="B588" s="30" t="s">
        <v>604</v>
      </c>
      <c r="C588" s="30" t="s">
        <v>206</v>
      </c>
      <c r="D588" s="30" t="s">
        <v>173</v>
      </c>
      <c r="E588" s="30"/>
      <c r="F588" s="31">
        <f t="shared" si="115"/>
        <v>1600</v>
      </c>
      <c r="G588" s="31">
        <f t="shared" si="115"/>
        <v>500</v>
      </c>
      <c r="H588" s="31">
        <f t="shared" si="115"/>
        <v>500</v>
      </c>
    </row>
    <row r="589" spans="1:8" s="28" customFormat="1" ht="12" x14ac:dyDescent="0.2">
      <c r="A589" s="35" t="s">
        <v>195</v>
      </c>
      <c r="B589" s="36" t="s">
        <v>604</v>
      </c>
      <c r="C589" s="36" t="s">
        <v>206</v>
      </c>
      <c r="D589" s="36" t="s">
        <v>173</v>
      </c>
      <c r="E589" s="36" t="s">
        <v>196</v>
      </c>
      <c r="F589" s="98">
        <f t="shared" si="115"/>
        <v>1600</v>
      </c>
      <c r="G589" s="98">
        <f t="shared" si="115"/>
        <v>500</v>
      </c>
      <c r="H589" s="98">
        <f t="shared" si="115"/>
        <v>500</v>
      </c>
    </row>
    <row r="590" spans="1:8" s="28" customFormat="1" ht="12" x14ac:dyDescent="0.2">
      <c r="A590" s="35" t="s">
        <v>197</v>
      </c>
      <c r="B590" s="36" t="s">
        <v>604</v>
      </c>
      <c r="C590" s="36" t="s">
        <v>206</v>
      </c>
      <c r="D590" s="36" t="s">
        <v>173</v>
      </c>
      <c r="E590" s="36" t="s">
        <v>198</v>
      </c>
      <c r="F590" s="98">
        <f>1400+200</f>
        <v>1600</v>
      </c>
      <c r="G590" s="98">
        <v>500</v>
      </c>
      <c r="H590" s="98">
        <v>500</v>
      </c>
    </row>
    <row r="591" spans="1:8" s="28" customFormat="1" ht="12" x14ac:dyDescent="0.2">
      <c r="A591" s="146" t="s">
        <v>605</v>
      </c>
      <c r="B591" s="40" t="s">
        <v>606</v>
      </c>
      <c r="C591" s="40"/>
      <c r="D591" s="40"/>
      <c r="E591" s="40"/>
      <c r="F591" s="114">
        <f t="shared" ref="F591:H594" si="116">F592</f>
        <v>10550</v>
      </c>
      <c r="G591" s="145">
        <f t="shared" si="116"/>
        <v>0</v>
      </c>
      <c r="H591" s="114">
        <f t="shared" si="116"/>
        <v>10000</v>
      </c>
    </row>
    <row r="592" spans="1:8" s="28" customFormat="1" ht="12" x14ac:dyDescent="0.2">
      <c r="A592" s="29" t="s">
        <v>367</v>
      </c>
      <c r="B592" s="30" t="s">
        <v>606</v>
      </c>
      <c r="C592" s="30" t="s">
        <v>206</v>
      </c>
      <c r="D592" s="30"/>
      <c r="E592" s="30"/>
      <c r="F592" s="100">
        <f t="shared" si="116"/>
        <v>10550</v>
      </c>
      <c r="G592" s="127">
        <f t="shared" si="116"/>
        <v>0</v>
      </c>
      <c r="H592" s="100">
        <f t="shared" si="116"/>
        <v>10000</v>
      </c>
    </row>
    <row r="593" spans="1:8" s="28" customFormat="1" ht="12" x14ac:dyDescent="0.2">
      <c r="A593" s="29" t="s">
        <v>561</v>
      </c>
      <c r="B593" s="30" t="s">
        <v>606</v>
      </c>
      <c r="C593" s="30" t="s">
        <v>206</v>
      </c>
      <c r="D593" s="30" t="s">
        <v>173</v>
      </c>
      <c r="E593" s="30"/>
      <c r="F593" s="100">
        <f t="shared" si="116"/>
        <v>10550</v>
      </c>
      <c r="G593" s="127">
        <f t="shared" si="116"/>
        <v>0</v>
      </c>
      <c r="H593" s="100">
        <f t="shared" si="116"/>
        <v>10000</v>
      </c>
    </row>
    <row r="594" spans="1:8" s="28" customFormat="1" ht="12" x14ac:dyDescent="0.2">
      <c r="A594" s="35" t="s">
        <v>195</v>
      </c>
      <c r="B594" s="36" t="s">
        <v>606</v>
      </c>
      <c r="C594" s="36" t="s">
        <v>206</v>
      </c>
      <c r="D594" s="36" t="s">
        <v>173</v>
      </c>
      <c r="E594" s="36" t="s">
        <v>196</v>
      </c>
      <c r="F594" s="98">
        <f t="shared" si="116"/>
        <v>10550</v>
      </c>
      <c r="G594" s="115">
        <f t="shared" si="116"/>
        <v>0</v>
      </c>
      <c r="H594" s="98">
        <f t="shared" si="116"/>
        <v>10000</v>
      </c>
    </row>
    <row r="595" spans="1:8" s="28" customFormat="1" ht="12" x14ac:dyDescent="0.2">
      <c r="A595" s="35" t="s">
        <v>197</v>
      </c>
      <c r="B595" s="36" t="s">
        <v>606</v>
      </c>
      <c r="C595" s="36" t="s">
        <v>206</v>
      </c>
      <c r="D595" s="36" t="s">
        <v>173</v>
      </c>
      <c r="E595" s="36" t="s">
        <v>198</v>
      </c>
      <c r="F595" s="98">
        <f>14550-4000</f>
        <v>10550</v>
      </c>
      <c r="G595" s="115">
        <f>10000-10000</f>
        <v>0</v>
      </c>
      <c r="H595" s="98">
        <v>10000</v>
      </c>
    </row>
    <row r="596" spans="1:8" s="28" customFormat="1" ht="13.5" x14ac:dyDescent="0.2">
      <c r="A596" s="39" t="s">
        <v>588</v>
      </c>
      <c r="B596" s="32" t="s">
        <v>590</v>
      </c>
      <c r="C596" s="40"/>
      <c r="D596" s="40"/>
      <c r="E596" s="49"/>
      <c r="F596" s="41">
        <f>F607+F612+F617+F622+F632+F637++F647+F642+F661+F597+F602</f>
        <v>279607.85553</v>
      </c>
      <c r="G596" s="41">
        <f>G607+G612+G617+G622+G632+G637++G647+G642+G661+G597+G602</f>
        <v>217556</v>
      </c>
      <c r="H596" s="41">
        <f>H607+H612+H617+H622+H632+H637++H647+H642+H661+H597+H602</f>
        <v>232384.6</v>
      </c>
    </row>
    <row r="597" spans="1:8" s="28" customFormat="1" ht="48" x14ac:dyDescent="0.2">
      <c r="A597" s="189" t="s">
        <v>607</v>
      </c>
      <c r="B597" s="32" t="s">
        <v>802</v>
      </c>
      <c r="C597" s="40"/>
      <c r="D597" s="40"/>
      <c r="E597" s="49"/>
      <c r="F597" s="41">
        <f t="shared" ref="F597:G600" si="117">F598</f>
        <v>17403.349450000002</v>
      </c>
      <c r="G597" s="47">
        <f t="shared" si="117"/>
        <v>0</v>
      </c>
      <c r="H597" s="47">
        <f>H598</f>
        <v>0</v>
      </c>
    </row>
    <row r="598" spans="1:8" s="28" customFormat="1" x14ac:dyDescent="0.2">
      <c r="A598" s="29" t="s">
        <v>367</v>
      </c>
      <c r="B598" s="133" t="s">
        <v>802</v>
      </c>
      <c r="C598" s="30" t="s">
        <v>206</v>
      </c>
      <c r="D598" s="30"/>
      <c r="E598" s="36"/>
      <c r="F598" s="31">
        <f t="shared" si="117"/>
        <v>17403.349450000002</v>
      </c>
      <c r="G598" s="45">
        <f t="shared" si="117"/>
        <v>0</v>
      </c>
      <c r="H598" s="45">
        <f>H599</f>
        <v>0</v>
      </c>
    </row>
    <row r="599" spans="1:8" s="28" customFormat="1" x14ac:dyDescent="0.2">
      <c r="A599" s="29" t="s">
        <v>561</v>
      </c>
      <c r="B599" s="133" t="s">
        <v>802</v>
      </c>
      <c r="C599" s="30" t="s">
        <v>206</v>
      </c>
      <c r="D599" s="30" t="s">
        <v>173</v>
      </c>
      <c r="E599" s="36"/>
      <c r="F599" s="31">
        <f t="shared" si="117"/>
        <v>17403.349450000002</v>
      </c>
      <c r="G599" s="45">
        <f t="shared" si="117"/>
        <v>0</v>
      </c>
      <c r="H599" s="45">
        <f>H600</f>
        <v>0</v>
      </c>
    </row>
    <row r="600" spans="1:8" s="28" customFormat="1" x14ac:dyDescent="0.2">
      <c r="A600" s="35" t="s">
        <v>344</v>
      </c>
      <c r="B600" s="154" t="s">
        <v>802</v>
      </c>
      <c r="C600" s="36" t="s">
        <v>206</v>
      </c>
      <c r="D600" s="36" t="s">
        <v>173</v>
      </c>
      <c r="E600" s="36" t="s">
        <v>345</v>
      </c>
      <c r="F600" s="37">
        <f t="shared" si="117"/>
        <v>17403.349450000002</v>
      </c>
      <c r="G600" s="46">
        <f t="shared" si="117"/>
        <v>0</v>
      </c>
      <c r="H600" s="46">
        <f>H601</f>
        <v>0</v>
      </c>
    </row>
    <row r="601" spans="1:8" s="28" customFormat="1" x14ac:dyDescent="0.2">
      <c r="A601" s="35" t="s">
        <v>346</v>
      </c>
      <c r="B601" s="154" t="s">
        <v>802</v>
      </c>
      <c r="C601" s="36" t="s">
        <v>206</v>
      </c>
      <c r="D601" s="36" t="s">
        <v>173</v>
      </c>
      <c r="E601" s="36" t="s">
        <v>347</v>
      </c>
      <c r="F601" s="98">
        <f>7261.39244+10141.95701</f>
        <v>17403.349450000002</v>
      </c>
      <c r="G601" s="115">
        <v>0</v>
      </c>
      <c r="H601" s="115">
        <v>0</v>
      </c>
    </row>
    <row r="602" spans="1:8" s="28" customFormat="1" ht="36" x14ac:dyDescent="0.2">
      <c r="A602" s="39" t="s">
        <v>609</v>
      </c>
      <c r="B602" s="32" t="s">
        <v>610</v>
      </c>
      <c r="C602" s="40"/>
      <c r="D602" s="40"/>
      <c r="E602" s="49"/>
      <c r="F602" s="41">
        <f t="shared" ref="F602:G605" si="118">F603</f>
        <v>1876.9700800000001</v>
      </c>
      <c r="G602" s="47">
        <f t="shared" si="118"/>
        <v>0</v>
      </c>
      <c r="H602" s="47">
        <f>H603</f>
        <v>0</v>
      </c>
    </row>
    <row r="603" spans="1:8" s="28" customFormat="1" x14ac:dyDescent="0.2">
      <c r="A603" s="29" t="s">
        <v>367</v>
      </c>
      <c r="B603" s="133" t="s">
        <v>610</v>
      </c>
      <c r="C603" s="30" t="s">
        <v>206</v>
      </c>
      <c r="D603" s="30"/>
      <c r="E603" s="36"/>
      <c r="F603" s="31">
        <f t="shared" si="118"/>
        <v>1876.9700800000001</v>
      </c>
      <c r="G603" s="45">
        <f t="shared" si="118"/>
        <v>0</v>
      </c>
      <c r="H603" s="45">
        <f>H604</f>
        <v>0</v>
      </c>
    </row>
    <row r="604" spans="1:8" s="28" customFormat="1" x14ac:dyDescent="0.2">
      <c r="A604" s="29" t="s">
        <v>561</v>
      </c>
      <c r="B604" s="133" t="s">
        <v>610</v>
      </c>
      <c r="C604" s="30" t="s">
        <v>206</v>
      </c>
      <c r="D604" s="30" t="s">
        <v>173</v>
      </c>
      <c r="E604" s="36"/>
      <c r="F604" s="31">
        <f t="shared" si="118"/>
        <v>1876.9700800000001</v>
      </c>
      <c r="G604" s="45">
        <f t="shared" si="118"/>
        <v>0</v>
      </c>
      <c r="H604" s="45">
        <f>H605</f>
        <v>0</v>
      </c>
    </row>
    <row r="605" spans="1:8" s="28" customFormat="1" x14ac:dyDescent="0.2">
      <c r="A605" s="35" t="s">
        <v>344</v>
      </c>
      <c r="B605" s="154" t="s">
        <v>610</v>
      </c>
      <c r="C605" s="36" t="s">
        <v>206</v>
      </c>
      <c r="D605" s="36" t="s">
        <v>173</v>
      </c>
      <c r="E605" s="36" t="s">
        <v>345</v>
      </c>
      <c r="F605" s="37">
        <f t="shared" si="118"/>
        <v>1876.9700800000001</v>
      </c>
      <c r="G605" s="46">
        <f t="shared" si="118"/>
        <v>0</v>
      </c>
      <c r="H605" s="46">
        <f>H606</f>
        <v>0</v>
      </c>
    </row>
    <row r="606" spans="1:8" s="28" customFormat="1" x14ac:dyDescent="0.2">
      <c r="A606" s="35" t="s">
        <v>346</v>
      </c>
      <c r="B606" s="154" t="s">
        <v>610</v>
      </c>
      <c r="C606" s="36" t="s">
        <v>206</v>
      </c>
      <c r="D606" s="36" t="s">
        <v>173</v>
      </c>
      <c r="E606" s="36" t="s">
        <v>347</v>
      </c>
      <c r="F606" s="98">
        <f>1052.08082+824.88926</f>
        <v>1876.9700800000001</v>
      </c>
      <c r="G606" s="115">
        <v>0</v>
      </c>
      <c r="H606" s="115">
        <v>0</v>
      </c>
    </row>
    <row r="607" spans="1:8" s="28" customFormat="1" ht="24" x14ac:dyDescent="0.2">
      <c r="A607" s="152" t="s">
        <v>611</v>
      </c>
      <c r="B607" s="40" t="s">
        <v>612</v>
      </c>
      <c r="C607" s="40"/>
      <c r="D607" s="40"/>
      <c r="E607" s="40"/>
      <c r="F607" s="41">
        <f t="shared" ref="F607:H610" si="119">F608</f>
        <v>13100</v>
      </c>
      <c r="G607" s="41">
        <f t="shared" si="119"/>
        <v>20200</v>
      </c>
      <c r="H607" s="41">
        <f t="shared" si="119"/>
        <v>20200</v>
      </c>
    </row>
    <row r="608" spans="1:8" s="28" customFormat="1" ht="12" x14ac:dyDescent="0.2">
      <c r="A608" s="29" t="s">
        <v>367</v>
      </c>
      <c r="B608" s="30" t="s">
        <v>612</v>
      </c>
      <c r="C608" s="30" t="s">
        <v>206</v>
      </c>
      <c r="D608" s="30"/>
      <c r="E608" s="30"/>
      <c r="F608" s="31">
        <f t="shared" si="119"/>
        <v>13100</v>
      </c>
      <c r="G608" s="31">
        <f t="shared" si="119"/>
        <v>20200</v>
      </c>
      <c r="H608" s="31">
        <f t="shared" si="119"/>
        <v>20200</v>
      </c>
    </row>
    <row r="609" spans="1:8" s="28" customFormat="1" ht="12" x14ac:dyDescent="0.2">
      <c r="A609" s="29" t="s">
        <v>561</v>
      </c>
      <c r="B609" s="30" t="s">
        <v>612</v>
      </c>
      <c r="C609" s="30" t="s">
        <v>206</v>
      </c>
      <c r="D609" s="30" t="s">
        <v>173</v>
      </c>
      <c r="E609" s="30"/>
      <c r="F609" s="31">
        <f t="shared" si="119"/>
        <v>13100</v>
      </c>
      <c r="G609" s="31">
        <f t="shared" si="119"/>
        <v>20200</v>
      </c>
      <c r="H609" s="31">
        <f t="shared" si="119"/>
        <v>20200</v>
      </c>
    </row>
    <row r="610" spans="1:8" s="28" customFormat="1" ht="12" x14ac:dyDescent="0.2">
      <c r="A610" s="71" t="s">
        <v>344</v>
      </c>
      <c r="B610" s="36" t="s">
        <v>612</v>
      </c>
      <c r="C610" s="36" t="s">
        <v>206</v>
      </c>
      <c r="D610" s="36" t="s">
        <v>173</v>
      </c>
      <c r="E610" s="36" t="s">
        <v>345</v>
      </c>
      <c r="F610" s="37">
        <f t="shared" si="119"/>
        <v>13100</v>
      </c>
      <c r="G610" s="37">
        <f t="shared" si="119"/>
        <v>20200</v>
      </c>
      <c r="H610" s="37">
        <f t="shared" si="119"/>
        <v>20200</v>
      </c>
    </row>
    <row r="611" spans="1:8" s="28" customFormat="1" ht="12" x14ac:dyDescent="0.2">
      <c r="A611" s="71" t="s">
        <v>346</v>
      </c>
      <c r="B611" s="36" t="s">
        <v>612</v>
      </c>
      <c r="C611" s="36" t="s">
        <v>206</v>
      </c>
      <c r="D611" s="36" t="s">
        <v>173</v>
      </c>
      <c r="E611" s="36" t="s">
        <v>347</v>
      </c>
      <c r="F611" s="98">
        <f>28200-5000-10100</f>
        <v>13100</v>
      </c>
      <c r="G611" s="98">
        <v>20200</v>
      </c>
      <c r="H611" s="98">
        <v>20200</v>
      </c>
    </row>
    <row r="612" spans="1:8" s="28" customFormat="1" ht="24" x14ac:dyDescent="0.2">
      <c r="A612" s="39" t="s">
        <v>613</v>
      </c>
      <c r="B612" s="40" t="s">
        <v>614</v>
      </c>
      <c r="C612" s="40"/>
      <c r="D612" s="40"/>
      <c r="E612" s="40"/>
      <c r="F612" s="41">
        <f t="shared" ref="F612:H615" si="120">F613</f>
        <v>51740.1</v>
      </c>
      <c r="G612" s="41">
        <f t="shared" si="120"/>
        <v>12000</v>
      </c>
      <c r="H612" s="41">
        <f t="shared" si="120"/>
        <v>12000</v>
      </c>
    </row>
    <row r="613" spans="1:8" s="28" customFormat="1" ht="12" x14ac:dyDescent="0.2">
      <c r="A613" s="29" t="s">
        <v>367</v>
      </c>
      <c r="B613" s="30" t="s">
        <v>614</v>
      </c>
      <c r="C613" s="30" t="s">
        <v>206</v>
      </c>
      <c r="D613" s="30"/>
      <c r="E613" s="30"/>
      <c r="F613" s="31">
        <f t="shared" si="120"/>
        <v>51740.1</v>
      </c>
      <c r="G613" s="31">
        <f t="shared" si="120"/>
        <v>12000</v>
      </c>
      <c r="H613" s="31">
        <f t="shared" si="120"/>
        <v>12000</v>
      </c>
    </row>
    <row r="614" spans="1:8" s="28" customFormat="1" ht="12" x14ac:dyDescent="0.2">
      <c r="A614" s="29" t="s">
        <v>561</v>
      </c>
      <c r="B614" s="30" t="s">
        <v>614</v>
      </c>
      <c r="C614" s="30" t="s">
        <v>206</v>
      </c>
      <c r="D614" s="30" t="s">
        <v>173</v>
      </c>
      <c r="E614" s="30"/>
      <c r="F614" s="31">
        <f t="shared" si="120"/>
        <v>51740.1</v>
      </c>
      <c r="G614" s="31">
        <f t="shared" si="120"/>
        <v>12000</v>
      </c>
      <c r="H614" s="31">
        <f t="shared" si="120"/>
        <v>12000</v>
      </c>
    </row>
    <row r="615" spans="1:8" s="28" customFormat="1" ht="12" x14ac:dyDescent="0.2">
      <c r="A615" s="35" t="s">
        <v>356</v>
      </c>
      <c r="B615" s="36" t="s">
        <v>614</v>
      </c>
      <c r="C615" s="36" t="s">
        <v>206</v>
      </c>
      <c r="D615" s="36" t="s">
        <v>173</v>
      </c>
      <c r="E615" s="36" t="s">
        <v>357</v>
      </c>
      <c r="F615" s="37">
        <f t="shared" si="120"/>
        <v>51740.1</v>
      </c>
      <c r="G615" s="37">
        <f t="shared" si="120"/>
        <v>12000</v>
      </c>
      <c r="H615" s="37">
        <f t="shared" si="120"/>
        <v>12000</v>
      </c>
    </row>
    <row r="616" spans="1:8" s="28" customFormat="1" ht="24" x14ac:dyDescent="0.2">
      <c r="A616" s="35" t="s">
        <v>470</v>
      </c>
      <c r="B616" s="36" t="s">
        <v>614</v>
      </c>
      <c r="C616" s="36" t="s">
        <v>206</v>
      </c>
      <c r="D616" s="36" t="s">
        <v>173</v>
      </c>
      <c r="E616" s="36" t="s">
        <v>471</v>
      </c>
      <c r="F616" s="98">
        <f>29400+22340.1</f>
        <v>51740.1</v>
      </c>
      <c r="G616" s="98">
        <v>12000</v>
      </c>
      <c r="H616" s="98">
        <v>12000</v>
      </c>
    </row>
    <row r="617" spans="1:8" s="14" customFormat="1" ht="15" x14ac:dyDescent="0.2">
      <c r="A617" s="129" t="s">
        <v>645</v>
      </c>
      <c r="B617" s="40" t="s">
        <v>646</v>
      </c>
      <c r="C617" s="40"/>
      <c r="D617" s="40"/>
      <c r="E617" s="49"/>
      <c r="F617" s="41">
        <f t="shared" ref="F617:H620" si="121">F618</f>
        <v>35590</v>
      </c>
      <c r="G617" s="41">
        <f t="shared" si="121"/>
        <v>37725.4</v>
      </c>
      <c r="H617" s="41">
        <f t="shared" si="121"/>
        <v>39988.9</v>
      </c>
    </row>
    <row r="618" spans="1:8" s="14" customFormat="1" ht="15" x14ac:dyDescent="0.2">
      <c r="A618" s="29" t="s">
        <v>367</v>
      </c>
      <c r="B618" s="30" t="s">
        <v>646</v>
      </c>
      <c r="C618" s="30" t="s">
        <v>206</v>
      </c>
      <c r="D618" s="30"/>
      <c r="E618" s="36"/>
      <c r="F618" s="31">
        <f t="shared" si="121"/>
        <v>35590</v>
      </c>
      <c r="G618" s="31">
        <f t="shared" si="121"/>
        <v>37725.4</v>
      </c>
      <c r="H618" s="31">
        <f t="shared" si="121"/>
        <v>39988.9</v>
      </c>
    </row>
    <row r="619" spans="1:8" s="14" customFormat="1" ht="15" x14ac:dyDescent="0.2">
      <c r="A619" s="29" t="s">
        <v>368</v>
      </c>
      <c r="B619" s="30" t="s">
        <v>646</v>
      </c>
      <c r="C619" s="30" t="s">
        <v>206</v>
      </c>
      <c r="D619" s="30" t="s">
        <v>283</v>
      </c>
      <c r="E619" s="36"/>
      <c r="F619" s="31">
        <f t="shared" si="121"/>
        <v>35590</v>
      </c>
      <c r="G619" s="31">
        <f t="shared" si="121"/>
        <v>37725.4</v>
      </c>
      <c r="H619" s="31">
        <f t="shared" si="121"/>
        <v>39988.9</v>
      </c>
    </row>
    <row r="620" spans="1:8" s="14" customFormat="1" ht="15" x14ac:dyDescent="0.2">
      <c r="A620" s="35" t="s">
        <v>356</v>
      </c>
      <c r="B620" s="36" t="s">
        <v>646</v>
      </c>
      <c r="C620" s="36" t="s">
        <v>206</v>
      </c>
      <c r="D620" s="36" t="s">
        <v>283</v>
      </c>
      <c r="E620" s="36" t="s">
        <v>357</v>
      </c>
      <c r="F620" s="37">
        <f t="shared" si="121"/>
        <v>35590</v>
      </c>
      <c r="G620" s="37">
        <f t="shared" si="121"/>
        <v>37725.4</v>
      </c>
      <c r="H620" s="37">
        <f t="shared" si="121"/>
        <v>39988.9</v>
      </c>
    </row>
    <row r="621" spans="1:8" s="14" customFormat="1" ht="15" x14ac:dyDescent="0.2">
      <c r="A621" s="35" t="s">
        <v>358</v>
      </c>
      <c r="B621" s="36" t="s">
        <v>646</v>
      </c>
      <c r="C621" s="36" t="s">
        <v>206</v>
      </c>
      <c r="D621" s="36" t="s">
        <v>283</v>
      </c>
      <c r="E621" s="36" t="s">
        <v>359</v>
      </c>
      <c r="F621" s="98">
        <v>35590</v>
      </c>
      <c r="G621" s="98">
        <v>37725.4</v>
      </c>
      <c r="H621" s="98">
        <v>39988.9</v>
      </c>
    </row>
    <row r="622" spans="1:8" s="14" customFormat="1" ht="15" x14ac:dyDescent="0.2">
      <c r="A622" s="146" t="s">
        <v>652</v>
      </c>
      <c r="B622" s="43" t="s">
        <v>653</v>
      </c>
      <c r="C622" s="40"/>
      <c r="D622" s="40"/>
      <c r="E622" s="40"/>
      <c r="F622" s="41">
        <f>F623</f>
        <v>14824.942000000001</v>
      </c>
      <c r="G622" s="41">
        <f>G623</f>
        <v>11976.4</v>
      </c>
      <c r="H622" s="41">
        <f>H623</f>
        <v>11976.4</v>
      </c>
    </row>
    <row r="623" spans="1:8" s="14" customFormat="1" ht="15" x14ac:dyDescent="0.2">
      <c r="A623" s="29" t="s">
        <v>367</v>
      </c>
      <c r="B623" s="51" t="s">
        <v>653</v>
      </c>
      <c r="C623" s="30" t="s">
        <v>206</v>
      </c>
      <c r="D623" s="30"/>
      <c r="E623" s="30"/>
      <c r="F623" s="31">
        <f>F624</f>
        <v>14824.942000000001</v>
      </c>
      <c r="G623" s="31">
        <f t="shared" ref="G623:H624" si="122">G624</f>
        <v>11976.4</v>
      </c>
      <c r="H623" s="31">
        <f t="shared" si="122"/>
        <v>11976.4</v>
      </c>
    </row>
    <row r="624" spans="1:8" s="14" customFormat="1" ht="15" x14ac:dyDescent="0.2">
      <c r="A624" s="29" t="s">
        <v>539</v>
      </c>
      <c r="B624" s="51" t="s">
        <v>653</v>
      </c>
      <c r="C624" s="30" t="s">
        <v>206</v>
      </c>
      <c r="D624" s="30" t="s">
        <v>206</v>
      </c>
      <c r="E624" s="30"/>
      <c r="F624" s="31">
        <f>F625</f>
        <v>14824.942000000001</v>
      </c>
      <c r="G624" s="31">
        <f t="shared" si="122"/>
        <v>11976.4</v>
      </c>
      <c r="H624" s="31">
        <f t="shared" si="122"/>
        <v>11976.4</v>
      </c>
    </row>
    <row r="625" spans="1:8" s="14" customFormat="1" ht="15" x14ac:dyDescent="0.2">
      <c r="A625" s="52" t="s">
        <v>263</v>
      </c>
      <c r="B625" s="49" t="s">
        <v>653</v>
      </c>
      <c r="C625" s="49" t="s">
        <v>206</v>
      </c>
      <c r="D625" s="49" t="s">
        <v>206</v>
      </c>
      <c r="E625" s="49"/>
      <c r="F625" s="53">
        <f>F626+F628+F630</f>
        <v>14824.942000000001</v>
      </c>
      <c r="G625" s="53">
        <f>G626+G628+G630</f>
        <v>11976.4</v>
      </c>
      <c r="H625" s="53">
        <f>H626+H628+H630</f>
        <v>11976.4</v>
      </c>
    </row>
    <row r="626" spans="1:8" s="14" customFormat="1" ht="36" x14ac:dyDescent="0.2">
      <c r="A626" s="35" t="s">
        <v>185</v>
      </c>
      <c r="B626" s="36" t="s">
        <v>653</v>
      </c>
      <c r="C626" s="36" t="s">
        <v>206</v>
      </c>
      <c r="D626" s="36" t="s">
        <v>206</v>
      </c>
      <c r="E626" s="36" t="s">
        <v>186</v>
      </c>
      <c r="F626" s="37">
        <f>F627</f>
        <v>12511.542000000001</v>
      </c>
      <c r="G626" s="37">
        <f>G627</f>
        <v>10413</v>
      </c>
      <c r="H626" s="37">
        <f>H627</f>
        <v>10413</v>
      </c>
    </row>
    <row r="627" spans="1:8" s="14" customFormat="1" ht="15" x14ac:dyDescent="0.2">
      <c r="A627" s="35" t="s">
        <v>266</v>
      </c>
      <c r="B627" s="36" t="s">
        <v>653</v>
      </c>
      <c r="C627" s="36" t="s">
        <v>206</v>
      </c>
      <c r="D627" s="36" t="s">
        <v>206</v>
      </c>
      <c r="E627" s="36" t="s">
        <v>267</v>
      </c>
      <c r="F627" s="98">
        <f>10413+430.058+1668.484</f>
        <v>12511.542000000001</v>
      </c>
      <c r="G627" s="98">
        <v>10413</v>
      </c>
      <c r="H627" s="98">
        <v>10413</v>
      </c>
    </row>
    <row r="628" spans="1:8" s="14" customFormat="1" ht="15" x14ac:dyDescent="0.2">
      <c r="A628" s="35" t="s">
        <v>195</v>
      </c>
      <c r="B628" s="36" t="s">
        <v>653</v>
      </c>
      <c r="C628" s="36" t="s">
        <v>206</v>
      </c>
      <c r="D628" s="36" t="s">
        <v>206</v>
      </c>
      <c r="E628" s="36" t="s">
        <v>196</v>
      </c>
      <c r="F628" s="98">
        <f>F629</f>
        <v>678.4</v>
      </c>
      <c r="G628" s="98">
        <f t="shared" ref="G628:H628" si="123">G629</f>
        <v>678.4</v>
      </c>
      <c r="H628" s="98">
        <f t="shared" si="123"/>
        <v>678.4</v>
      </c>
    </row>
    <row r="629" spans="1:8" s="14" customFormat="1" ht="15" x14ac:dyDescent="0.2">
      <c r="A629" s="35" t="s">
        <v>197</v>
      </c>
      <c r="B629" s="36" t="s">
        <v>653</v>
      </c>
      <c r="C629" s="36" t="s">
        <v>206</v>
      </c>
      <c r="D629" s="36" t="s">
        <v>206</v>
      </c>
      <c r="E629" s="36" t="s">
        <v>198</v>
      </c>
      <c r="F629" s="98">
        <v>678.4</v>
      </c>
      <c r="G629" s="98">
        <v>678.4</v>
      </c>
      <c r="H629" s="98">
        <v>678.4</v>
      </c>
    </row>
    <row r="630" spans="1:8" s="14" customFormat="1" ht="15" x14ac:dyDescent="0.2">
      <c r="A630" s="35" t="s">
        <v>199</v>
      </c>
      <c r="B630" s="36" t="s">
        <v>653</v>
      </c>
      <c r="C630" s="36" t="s">
        <v>206</v>
      </c>
      <c r="D630" s="36" t="s">
        <v>206</v>
      </c>
      <c r="E630" s="36" t="s">
        <v>200</v>
      </c>
      <c r="F630" s="98">
        <f>F631</f>
        <v>1635</v>
      </c>
      <c r="G630" s="98">
        <f t="shared" ref="G630:H630" si="124">G631</f>
        <v>885</v>
      </c>
      <c r="H630" s="98">
        <f t="shared" si="124"/>
        <v>885</v>
      </c>
    </row>
    <row r="631" spans="1:8" s="14" customFormat="1" ht="15" x14ac:dyDescent="0.2">
      <c r="A631" s="35" t="s">
        <v>201</v>
      </c>
      <c r="B631" s="36" t="s">
        <v>653</v>
      </c>
      <c r="C631" s="36" t="s">
        <v>206</v>
      </c>
      <c r="D631" s="36" t="s">
        <v>206</v>
      </c>
      <c r="E631" s="36" t="s">
        <v>202</v>
      </c>
      <c r="F631" s="98">
        <f>885+750</f>
        <v>1635</v>
      </c>
      <c r="G631" s="98">
        <v>885</v>
      </c>
      <c r="H631" s="98">
        <v>885</v>
      </c>
    </row>
    <row r="632" spans="1:8" s="14" customFormat="1" ht="24" x14ac:dyDescent="0.2">
      <c r="A632" s="129" t="s">
        <v>615</v>
      </c>
      <c r="B632" s="83" t="s">
        <v>616</v>
      </c>
      <c r="C632" s="40"/>
      <c r="D632" s="40"/>
      <c r="E632" s="40"/>
      <c r="F632" s="47">
        <f t="shared" ref="F632:H635" si="125">F633</f>
        <v>3500</v>
      </c>
      <c r="G632" s="47">
        <f t="shared" si="125"/>
        <v>3500</v>
      </c>
      <c r="H632" s="47">
        <f t="shared" si="125"/>
        <v>3500</v>
      </c>
    </row>
    <row r="633" spans="1:8" s="14" customFormat="1" ht="15" x14ac:dyDescent="0.2">
      <c r="A633" s="29" t="s">
        <v>367</v>
      </c>
      <c r="B633" s="74" t="s">
        <v>616</v>
      </c>
      <c r="C633" s="30" t="s">
        <v>206</v>
      </c>
      <c r="D633" s="30"/>
      <c r="E633" s="40"/>
      <c r="F633" s="47">
        <f t="shared" si="125"/>
        <v>3500</v>
      </c>
      <c r="G633" s="47">
        <f t="shared" si="125"/>
        <v>3500</v>
      </c>
      <c r="H633" s="47">
        <f t="shared" si="125"/>
        <v>3500</v>
      </c>
    </row>
    <row r="634" spans="1:8" s="14" customFormat="1" ht="15" x14ac:dyDescent="0.2">
      <c r="A634" s="29" t="s">
        <v>561</v>
      </c>
      <c r="B634" s="74" t="s">
        <v>616</v>
      </c>
      <c r="C634" s="30" t="s">
        <v>206</v>
      </c>
      <c r="D634" s="30" t="s">
        <v>173</v>
      </c>
      <c r="E634" s="40"/>
      <c r="F634" s="47">
        <f t="shared" si="125"/>
        <v>3500</v>
      </c>
      <c r="G634" s="47">
        <f t="shared" si="125"/>
        <v>3500</v>
      </c>
      <c r="H634" s="47">
        <f t="shared" si="125"/>
        <v>3500</v>
      </c>
    </row>
    <row r="635" spans="1:8" s="14" customFormat="1" ht="15" x14ac:dyDescent="0.2">
      <c r="A635" s="35" t="s">
        <v>195</v>
      </c>
      <c r="B635" s="12" t="s">
        <v>616</v>
      </c>
      <c r="C635" s="36" t="s">
        <v>206</v>
      </c>
      <c r="D635" s="36" t="s">
        <v>173</v>
      </c>
      <c r="E635" s="36" t="s">
        <v>196</v>
      </c>
      <c r="F635" s="46">
        <f t="shared" si="125"/>
        <v>3500</v>
      </c>
      <c r="G635" s="46">
        <f t="shared" si="125"/>
        <v>3500</v>
      </c>
      <c r="H635" s="46">
        <f t="shared" si="125"/>
        <v>3500</v>
      </c>
    </row>
    <row r="636" spans="1:8" s="14" customFormat="1" ht="15" x14ac:dyDescent="0.2">
      <c r="A636" s="35" t="s">
        <v>197</v>
      </c>
      <c r="B636" s="12" t="s">
        <v>616</v>
      </c>
      <c r="C636" s="36" t="s">
        <v>206</v>
      </c>
      <c r="D636" s="36" t="s">
        <v>173</v>
      </c>
      <c r="E636" s="36" t="s">
        <v>198</v>
      </c>
      <c r="F636" s="98">
        <v>3500</v>
      </c>
      <c r="G636" s="98">
        <v>3500</v>
      </c>
      <c r="H636" s="98">
        <v>3500</v>
      </c>
    </row>
    <row r="637" spans="1:8" s="14" customFormat="1" ht="15" x14ac:dyDescent="0.2">
      <c r="A637" s="129" t="s">
        <v>647</v>
      </c>
      <c r="B637" s="83" t="s">
        <v>648</v>
      </c>
      <c r="C637" s="83"/>
      <c r="D637" s="83"/>
      <c r="E637" s="40"/>
      <c r="F637" s="41">
        <f t="shared" ref="F637:H640" si="126">F638</f>
        <v>104500</v>
      </c>
      <c r="G637" s="41">
        <f t="shared" si="126"/>
        <v>104851.1</v>
      </c>
      <c r="H637" s="41">
        <f t="shared" si="126"/>
        <v>117416.2</v>
      </c>
    </row>
    <row r="638" spans="1:8" s="14" customFormat="1" ht="15" x14ac:dyDescent="0.2">
      <c r="A638" s="29" t="s">
        <v>367</v>
      </c>
      <c r="B638" s="30" t="s">
        <v>648</v>
      </c>
      <c r="C638" s="30" t="s">
        <v>206</v>
      </c>
      <c r="D638" s="30"/>
      <c r="E638" s="40"/>
      <c r="F638" s="31">
        <f t="shared" si="126"/>
        <v>104500</v>
      </c>
      <c r="G638" s="31">
        <f t="shared" si="126"/>
        <v>104851.1</v>
      </c>
      <c r="H638" s="31">
        <f t="shared" si="126"/>
        <v>117416.2</v>
      </c>
    </row>
    <row r="639" spans="1:8" s="14" customFormat="1" ht="15" x14ac:dyDescent="0.2">
      <c r="A639" s="29" t="s">
        <v>561</v>
      </c>
      <c r="B639" s="30" t="s">
        <v>648</v>
      </c>
      <c r="C639" s="30" t="s">
        <v>206</v>
      </c>
      <c r="D639" s="30" t="s">
        <v>173</v>
      </c>
      <c r="E639" s="40"/>
      <c r="F639" s="31">
        <f t="shared" si="126"/>
        <v>104500</v>
      </c>
      <c r="G639" s="31">
        <f t="shared" si="126"/>
        <v>104851.1</v>
      </c>
      <c r="H639" s="31">
        <f t="shared" si="126"/>
        <v>117416.2</v>
      </c>
    </row>
    <row r="640" spans="1:8" s="14" customFormat="1" ht="15" x14ac:dyDescent="0.2">
      <c r="A640" s="35" t="s">
        <v>195</v>
      </c>
      <c r="B640" s="36" t="s">
        <v>648</v>
      </c>
      <c r="C640" s="36" t="s">
        <v>206</v>
      </c>
      <c r="D640" s="36" t="s">
        <v>173</v>
      </c>
      <c r="E640" s="36" t="s">
        <v>196</v>
      </c>
      <c r="F640" s="37">
        <f t="shared" si="126"/>
        <v>104500</v>
      </c>
      <c r="G640" s="37">
        <f t="shared" si="126"/>
        <v>104851.1</v>
      </c>
      <c r="H640" s="37">
        <f t="shared" si="126"/>
        <v>117416.2</v>
      </c>
    </row>
    <row r="641" spans="1:8" s="14" customFormat="1" ht="15" x14ac:dyDescent="0.2">
      <c r="A641" s="35" t="s">
        <v>197</v>
      </c>
      <c r="B641" s="36" t="s">
        <v>648</v>
      </c>
      <c r="C641" s="36" t="s">
        <v>206</v>
      </c>
      <c r="D641" s="36" t="s">
        <v>173</v>
      </c>
      <c r="E641" s="36" t="s">
        <v>198</v>
      </c>
      <c r="F641" s="98">
        <v>104500</v>
      </c>
      <c r="G641" s="98">
        <f>110770-5918.9</f>
        <v>104851.1</v>
      </c>
      <c r="H641" s="98">
        <v>117416.2</v>
      </c>
    </row>
    <row r="642" spans="1:8" s="14" customFormat="1" ht="15" x14ac:dyDescent="0.2">
      <c r="A642" s="75" t="s">
        <v>639</v>
      </c>
      <c r="B642" s="12" t="s">
        <v>640</v>
      </c>
      <c r="C642" s="36"/>
      <c r="D642" s="36"/>
      <c r="E642" s="36"/>
      <c r="F642" s="41">
        <f>F643</f>
        <v>3000</v>
      </c>
      <c r="G642" s="41">
        <f t="shared" ref="G642:H645" si="127">G643</f>
        <v>3500</v>
      </c>
      <c r="H642" s="41">
        <f t="shared" si="127"/>
        <v>3500</v>
      </c>
    </row>
    <row r="643" spans="1:8" s="14" customFormat="1" ht="15" x14ac:dyDescent="0.2">
      <c r="A643" s="29" t="s">
        <v>367</v>
      </c>
      <c r="B643" s="12" t="s">
        <v>640</v>
      </c>
      <c r="C643" s="30" t="s">
        <v>206</v>
      </c>
      <c r="D643" s="30"/>
      <c r="E643" s="36"/>
      <c r="F643" s="31">
        <f>F644</f>
        <v>3000</v>
      </c>
      <c r="G643" s="31">
        <f t="shared" si="127"/>
        <v>3500</v>
      </c>
      <c r="H643" s="31">
        <f t="shared" si="127"/>
        <v>3500</v>
      </c>
    </row>
    <row r="644" spans="1:8" s="14" customFormat="1" ht="15" x14ac:dyDescent="0.2">
      <c r="A644" s="29" t="s">
        <v>368</v>
      </c>
      <c r="B644" s="12" t="s">
        <v>640</v>
      </c>
      <c r="C644" s="30" t="s">
        <v>206</v>
      </c>
      <c r="D644" s="30" t="s">
        <v>283</v>
      </c>
      <c r="E644" s="36"/>
      <c r="F644" s="31">
        <f>F645</f>
        <v>3000</v>
      </c>
      <c r="G644" s="31">
        <f t="shared" si="127"/>
        <v>3500</v>
      </c>
      <c r="H644" s="31">
        <f t="shared" si="127"/>
        <v>3500</v>
      </c>
    </row>
    <row r="645" spans="1:8" s="14" customFormat="1" ht="15" x14ac:dyDescent="0.2">
      <c r="A645" s="73" t="s">
        <v>195</v>
      </c>
      <c r="B645" s="12" t="s">
        <v>640</v>
      </c>
      <c r="C645" s="36" t="s">
        <v>206</v>
      </c>
      <c r="D645" s="36" t="s">
        <v>283</v>
      </c>
      <c r="E645" s="36" t="s">
        <v>196</v>
      </c>
      <c r="F645" s="98">
        <f>F646</f>
        <v>3000</v>
      </c>
      <c r="G645" s="98">
        <f t="shared" si="127"/>
        <v>3500</v>
      </c>
      <c r="H645" s="98">
        <f t="shared" si="127"/>
        <v>3500</v>
      </c>
    </row>
    <row r="646" spans="1:8" s="14" customFormat="1" ht="15" x14ac:dyDescent="0.2">
      <c r="A646" s="73" t="s">
        <v>197</v>
      </c>
      <c r="B646" s="12" t="s">
        <v>640</v>
      </c>
      <c r="C646" s="36" t="s">
        <v>206</v>
      </c>
      <c r="D646" s="36" t="s">
        <v>283</v>
      </c>
      <c r="E646" s="36" t="s">
        <v>198</v>
      </c>
      <c r="F646" s="98">
        <v>3000</v>
      </c>
      <c r="G646" s="98">
        <v>3500</v>
      </c>
      <c r="H646" s="98">
        <v>3500</v>
      </c>
    </row>
    <row r="647" spans="1:8" s="14" customFormat="1" ht="15" customHeight="1" x14ac:dyDescent="0.2">
      <c r="A647" s="29" t="s">
        <v>649</v>
      </c>
      <c r="B647" s="74" t="s">
        <v>590</v>
      </c>
      <c r="C647" s="30"/>
      <c r="D647" s="30"/>
      <c r="E647" s="36"/>
      <c r="F647" s="31">
        <f>F648</f>
        <v>24072.493999999999</v>
      </c>
      <c r="G647" s="31">
        <f t="shared" ref="G647:H647" si="128">G648</f>
        <v>20932.099999999999</v>
      </c>
      <c r="H647" s="31">
        <f t="shared" si="128"/>
        <v>20932.099999999999</v>
      </c>
    </row>
    <row r="648" spans="1:8" s="14" customFormat="1" ht="24" x14ac:dyDescent="0.2">
      <c r="A648" s="39" t="s">
        <v>728</v>
      </c>
      <c r="B648" s="74" t="s">
        <v>590</v>
      </c>
      <c r="C648" s="40"/>
      <c r="D648" s="40"/>
      <c r="E648" s="40"/>
      <c r="F648" s="41">
        <f>F649+F654</f>
        <v>24072.493999999999</v>
      </c>
      <c r="G648" s="41">
        <f>G649+G654</f>
        <v>20932.099999999999</v>
      </c>
      <c r="H648" s="41">
        <f>H649+H654</f>
        <v>20932.099999999999</v>
      </c>
    </row>
    <row r="649" spans="1:8" s="14" customFormat="1" ht="15" x14ac:dyDescent="0.2">
      <c r="A649" s="29" t="s">
        <v>492</v>
      </c>
      <c r="B649" s="30" t="s">
        <v>650</v>
      </c>
      <c r="C649" s="30"/>
      <c r="D649" s="30"/>
      <c r="E649" s="30"/>
      <c r="F649" s="31">
        <f t="shared" ref="F649:H652" si="129">F650</f>
        <v>22342.493999999999</v>
      </c>
      <c r="G649" s="31">
        <f t="shared" si="129"/>
        <v>19202.099999999999</v>
      </c>
      <c r="H649" s="31">
        <f t="shared" si="129"/>
        <v>19202.099999999999</v>
      </c>
    </row>
    <row r="650" spans="1:8" s="14" customFormat="1" ht="15" x14ac:dyDescent="0.2">
      <c r="A650" s="29" t="s">
        <v>367</v>
      </c>
      <c r="B650" s="30" t="s">
        <v>650</v>
      </c>
      <c r="C650" s="30" t="s">
        <v>206</v>
      </c>
      <c r="D650" s="30"/>
      <c r="E650" s="30"/>
      <c r="F650" s="31">
        <f t="shared" si="129"/>
        <v>22342.493999999999</v>
      </c>
      <c r="G650" s="31">
        <f t="shared" si="129"/>
        <v>19202.099999999999</v>
      </c>
      <c r="H650" s="31">
        <f t="shared" si="129"/>
        <v>19202.099999999999</v>
      </c>
    </row>
    <row r="651" spans="1:8" s="14" customFormat="1" ht="15" x14ac:dyDescent="0.2">
      <c r="A651" s="29" t="s">
        <v>539</v>
      </c>
      <c r="B651" s="30" t="s">
        <v>650</v>
      </c>
      <c r="C651" s="30" t="s">
        <v>206</v>
      </c>
      <c r="D651" s="30" t="s">
        <v>206</v>
      </c>
      <c r="E651" s="30"/>
      <c r="F651" s="31">
        <f t="shared" si="129"/>
        <v>22342.493999999999</v>
      </c>
      <c r="G651" s="31">
        <f t="shared" si="129"/>
        <v>19202.099999999999</v>
      </c>
      <c r="H651" s="31">
        <f t="shared" si="129"/>
        <v>19202.099999999999</v>
      </c>
    </row>
    <row r="652" spans="1:8" s="14" customFormat="1" ht="36" x14ac:dyDescent="0.2">
      <c r="A652" s="35" t="s">
        <v>185</v>
      </c>
      <c r="B652" s="36" t="s">
        <v>650</v>
      </c>
      <c r="C652" s="36" t="s">
        <v>206</v>
      </c>
      <c r="D652" s="36" t="s">
        <v>206</v>
      </c>
      <c r="E652" s="36" t="s">
        <v>186</v>
      </c>
      <c r="F652" s="37">
        <f t="shared" si="129"/>
        <v>22342.493999999999</v>
      </c>
      <c r="G652" s="37">
        <f t="shared" si="129"/>
        <v>19202.099999999999</v>
      </c>
      <c r="H652" s="37">
        <f t="shared" si="129"/>
        <v>19202.099999999999</v>
      </c>
    </row>
    <row r="653" spans="1:8" s="14" customFormat="1" ht="15" x14ac:dyDescent="0.2">
      <c r="A653" s="35" t="s">
        <v>187</v>
      </c>
      <c r="B653" s="36" t="s">
        <v>650</v>
      </c>
      <c r="C653" s="36" t="s">
        <v>206</v>
      </c>
      <c r="D653" s="36" t="s">
        <v>206</v>
      </c>
      <c r="E653" s="36" t="s">
        <v>188</v>
      </c>
      <c r="F653" s="98">
        <f>19202.1+3140.394</f>
        <v>22342.493999999999</v>
      </c>
      <c r="G653" s="98">
        <v>19202.099999999999</v>
      </c>
      <c r="H653" s="98">
        <v>19202.099999999999</v>
      </c>
    </row>
    <row r="654" spans="1:8" s="14" customFormat="1" ht="15" x14ac:dyDescent="0.2">
      <c r="A654" s="29" t="s">
        <v>193</v>
      </c>
      <c r="B654" s="30" t="s">
        <v>651</v>
      </c>
      <c r="C654" s="30"/>
      <c r="D654" s="30"/>
      <c r="E654" s="30"/>
      <c r="F654" s="31">
        <f t="shared" ref="F654:H655" si="130">F655</f>
        <v>1730</v>
      </c>
      <c r="G654" s="31">
        <f t="shared" si="130"/>
        <v>1730</v>
      </c>
      <c r="H654" s="31">
        <f t="shared" si="130"/>
        <v>1730</v>
      </c>
    </row>
    <row r="655" spans="1:8" s="14" customFormat="1" ht="15" x14ac:dyDescent="0.2">
      <c r="A655" s="29" t="s">
        <v>367</v>
      </c>
      <c r="B655" s="30" t="s">
        <v>651</v>
      </c>
      <c r="C655" s="30" t="s">
        <v>206</v>
      </c>
      <c r="D655" s="30"/>
      <c r="E655" s="30"/>
      <c r="F655" s="31">
        <f t="shared" si="130"/>
        <v>1730</v>
      </c>
      <c r="G655" s="31">
        <f t="shared" si="130"/>
        <v>1730</v>
      </c>
      <c r="H655" s="31">
        <f t="shared" si="130"/>
        <v>1730</v>
      </c>
    </row>
    <row r="656" spans="1:8" s="14" customFormat="1" ht="15" x14ac:dyDescent="0.2">
      <c r="A656" s="29" t="s">
        <v>539</v>
      </c>
      <c r="B656" s="30" t="s">
        <v>651</v>
      </c>
      <c r="C656" s="30" t="s">
        <v>206</v>
      </c>
      <c r="D656" s="30" t="s">
        <v>206</v>
      </c>
      <c r="E656" s="30"/>
      <c r="F656" s="31">
        <f>F657+F659</f>
        <v>1730</v>
      </c>
      <c r="G656" s="31">
        <f>G657+G659</f>
        <v>1730</v>
      </c>
      <c r="H656" s="31">
        <f>H657+H659</f>
        <v>1730</v>
      </c>
    </row>
    <row r="657" spans="1:8" s="14" customFormat="1" ht="15" x14ac:dyDescent="0.2">
      <c r="A657" s="35" t="s">
        <v>195</v>
      </c>
      <c r="B657" s="36" t="s">
        <v>651</v>
      </c>
      <c r="C657" s="36" t="s">
        <v>206</v>
      </c>
      <c r="D657" s="36" t="s">
        <v>206</v>
      </c>
      <c r="E657" s="36" t="s">
        <v>196</v>
      </c>
      <c r="F657" s="37">
        <f>F658</f>
        <v>1700</v>
      </c>
      <c r="G657" s="37">
        <f>G658</f>
        <v>1700</v>
      </c>
      <c r="H657" s="37">
        <f>H658</f>
        <v>1700</v>
      </c>
    </row>
    <row r="658" spans="1:8" s="14" customFormat="1" ht="15" x14ac:dyDescent="0.2">
      <c r="A658" s="35" t="s">
        <v>197</v>
      </c>
      <c r="B658" s="36" t="s">
        <v>651</v>
      </c>
      <c r="C658" s="36" t="s">
        <v>206</v>
      </c>
      <c r="D658" s="36" t="s">
        <v>206</v>
      </c>
      <c r="E658" s="36" t="s">
        <v>198</v>
      </c>
      <c r="F658" s="98">
        <v>1700</v>
      </c>
      <c r="G658" s="98">
        <v>1700</v>
      </c>
      <c r="H658" s="98">
        <v>1700</v>
      </c>
    </row>
    <row r="659" spans="1:8" s="14" customFormat="1" ht="15" x14ac:dyDescent="0.2">
      <c r="A659" s="35" t="s">
        <v>199</v>
      </c>
      <c r="B659" s="36" t="s">
        <v>651</v>
      </c>
      <c r="C659" s="36" t="s">
        <v>206</v>
      </c>
      <c r="D659" s="36" t="s">
        <v>206</v>
      </c>
      <c r="E659" s="36" t="s">
        <v>200</v>
      </c>
      <c r="F659" s="98">
        <f>F660</f>
        <v>30</v>
      </c>
      <c r="G659" s="98">
        <f t="shared" ref="G659:H659" si="131">G660</f>
        <v>30</v>
      </c>
      <c r="H659" s="98">
        <f t="shared" si="131"/>
        <v>30</v>
      </c>
    </row>
    <row r="660" spans="1:8" s="14" customFormat="1" ht="15" x14ac:dyDescent="0.2">
      <c r="A660" s="35" t="s">
        <v>201</v>
      </c>
      <c r="B660" s="36" t="s">
        <v>651</v>
      </c>
      <c r="C660" s="36" t="s">
        <v>206</v>
      </c>
      <c r="D660" s="36" t="s">
        <v>206</v>
      </c>
      <c r="E660" s="36" t="s">
        <v>202</v>
      </c>
      <c r="F660" s="98">
        <v>30</v>
      </c>
      <c r="G660" s="98">
        <v>30</v>
      </c>
      <c r="H660" s="98">
        <v>30</v>
      </c>
    </row>
    <row r="661" spans="1:8" s="14" customFormat="1" ht="15" x14ac:dyDescent="0.2">
      <c r="A661" s="129" t="s">
        <v>803</v>
      </c>
      <c r="B661" s="83" t="s">
        <v>592</v>
      </c>
      <c r="C661" s="83"/>
      <c r="D661" s="83"/>
      <c r="E661" s="83"/>
      <c r="F661" s="114">
        <f t="shared" ref="F661:H662" si="132">F662</f>
        <v>10000</v>
      </c>
      <c r="G661" s="145">
        <f t="shared" si="132"/>
        <v>2871</v>
      </c>
      <c r="H661" s="145">
        <f t="shared" si="132"/>
        <v>2871</v>
      </c>
    </row>
    <row r="662" spans="1:8" s="14" customFormat="1" ht="15" x14ac:dyDescent="0.2">
      <c r="A662" s="75" t="s">
        <v>290</v>
      </c>
      <c r="B662" s="74" t="s">
        <v>592</v>
      </c>
      <c r="C662" s="74" t="s">
        <v>177</v>
      </c>
      <c r="D662" s="74"/>
      <c r="E662" s="74"/>
      <c r="F662" s="100">
        <f t="shared" si="132"/>
        <v>10000</v>
      </c>
      <c r="G662" s="127">
        <f t="shared" si="132"/>
        <v>2871</v>
      </c>
      <c r="H662" s="127">
        <f t="shared" si="132"/>
        <v>2871</v>
      </c>
    </row>
    <row r="663" spans="1:8" s="14" customFormat="1" ht="15" x14ac:dyDescent="0.2">
      <c r="A663" s="75" t="s">
        <v>550</v>
      </c>
      <c r="B663" s="74" t="s">
        <v>592</v>
      </c>
      <c r="C663" s="74" t="s">
        <v>177</v>
      </c>
      <c r="D663" s="74" t="s">
        <v>206</v>
      </c>
      <c r="E663" s="74"/>
      <c r="F663" s="100">
        <f>F664+F666+F668</f>
        <v>10000</v>
      </c>
      <c r="G663" s="100">
        <f>G664+G666+G668</f>
        <v>2871</v>
      </c>
      <c r="H663" s="100">
        <f>H664+H666+H668</f>
        <v>2871</v>
      </c>
    </row>
    <row r="664" spans="1:8" s="14" customFormat="1" ht="36" x14ac:dyDescent="0.2">
      <c r="A664" s="73" t="s">
        <v>185</v>
      </c>
      <c r="B664" s="12" t="s">
        <v>592</v>
      </c>
      <c r="C664" s="12" t="s">
        <v>177</v>
      </c>
      <c r="D664" s="12" t="s">
        <v>206</v>
      </c>
      <c r="E664" s="12" t="s">
        <v>186</v>
      </c>
      <c r="F664" s="98">
        <f t="shared" ref="F664:H664" si="133">F665</f>
        <v>5931.3</v>
      </c>
      <c r="G664" s="115">
        <f t="shared" si="133"/>
        <v>1851</v>
      </c>
      <c r="H664" s="115">
        <f t="shared" si="133"/>
        <v>1851</v>
      </c>
    </row>
    <row r="665" spans="1:8" s="14" customFormat="1" ht="15" x14ac:dyDescent="0.2">
      <c r="A665" s="73" t="s">
        <v>266</v>
      </c>
      <c r="B665" s="12" t="s">
        <v>592</v>
      </c>
      <c r="C665" s="12" t="s">
        <v>177</v>
      </c>
      <c r="D665" s="12" t="s">
        <v>206</v>
      </c>
      <c r="E665" s="12" t="s">
        <v>267</v>
      </c>
      <c r="F665" s="115">
        <v>5931.3</v>
      </c>
      <c r="G665" s="115">
        <v>1851</v>
      </c>
      <c r="H665" s="115">
        <v>1851</v>
      </c>
    </row>
    <row r="666" spans="1:8" s="14" customFormat="1" ht="15.75" customHeight="1" x14ac:dyDescent="0.2">
      <c r="A666" s="73" t="s">
        <v>195</v>
      </c>
      <c r="B666" s="12" t="s">
        <v>592</v>
      </c>
      <c r="C666" s="12" t="s">
        <v>177</v>
      </c>
      <c r="D666" s="12" t="s">
        <v>206</v>
      </c>
      <c r="E666" s="12" t="s">
        <v>196</v>
      </c>
      <c r="F666" s="115">
        <f>F667</f>
        <v>4033.7000000000007</v>
      </c>
      <c r="G666" s="115">
        <f t="shared" ref="G666:H666" si="134">G667</f>
        <v>1000</v>
      </c>
      <c r="H666" s="115">
        <f t="shared" si="134"/>
        <v>1000</v>
      </c>
    </row>
    <row r="667" spans="1:8" s="14" customFormat="1" ht="15" x14ac:dyDescent="0.2">
      <c r="A667" s="73" t="s">
        <v>197</v>
      </c>
      <c r="B667" s="12" t="s">
        <v>592</v>
      </c>
      <c r="C667" s="12" t="s">
        <v>177</v>
      </c>
      <c r="D667" s="12" t="s">
        <v>206</v>
      </c>
      <c r="E667" s="12" t="s">
        <v>198</v>
      </c>
      <c r="F667" s="115">
        <f>9033.7-5000</f>
        <v>4033.7000000000007</v>
      </c>
      <c r="G667" s="115">
        <v>1000</v>
      </c>
      <c r="H667" s="115">
        <v>1000</v>
      </c>
    </row>
    <row r="668" spans="1:8" s="14" customFormat="1" ht="15" x14ac:dyDescent="0.2">
      <c r="A668" s="73" t="s">
        <v>199</v>
      </c>
      <c r="B668" s="12" t="s">
        <v>592</v>
      </c>
      <c r="C668" s="12" t="s">
        <v>177</v>
      </c>
      <c r="D668" s="12" t="s">
        <v>206</v>
      </c>
      <c r="E668" s="12" t="s">
        <v>200</v>
      </c>
      <c r="F668" s="115">
        <f>F669</f>
        <v>35</v>
      </c>
      <c r="G668" s="115">
        <f t="shared" ref="G668:H668" si="135">G669</f>
        <v>20</v>
      </c>
      <c r="H668" s="115">
        <f t="shared" si="135"/>
        <v>20</v>
      </c>
    </row>
    <row r="669" spans="1:8" s="14" customFormat="1" ht="15" x14ac:dyDescent="0.2">
      <c r="A669" s="73" t="s">
        <v>201</v>
      </c>
      <c r="B669" s="12" t="s">
        <v>592</v>
      </c>
      <c r="C669" s="12" t="s">
        <v>177</v>
      </c>
      <c r="D669" s="12" t="s">
        <v>206</v>
      </c>
      <c r="E669" s="12" t="s">
        <v>202</v>
      </c>
      <c r="F669" s="115">
        <v>35</v>
      </c>
      <c r="G669" s="115">
        <v>20</v>
      </c>
      <c r="H669" s="115">
        <v>20</v>
      </c>
    </row>
    <row r="670" spans="1:8" s="14" customFormat="1" ht="15" x14ac:dyDescent="0.2">
      <c r="A670" s="39" t="s">
        <v>641</v>
      </c>
      <c r="B670" s="32" t="s">
        <v>642</v>
      </c>
      <c r="C670" s="40"/>
      <c r="D670" s="40"/>
      <c r="E670" s="49"/>
      <c r="F670" s="41">
        <f t="shared" ref="F670:G673" si="136">F671</f>
        <v>2100</v>
      </c>
      <c r="G670" s="47">
        <f>G671</f>
        <v>0</v>
      </c>
      <c r="H670" s="47">
        <f>H671</f>
        <v>0</v>
      </c>
    </row>
    <row r="671" spans="1:8" s="14" customFormat="1" ht="15" x14ac:dyDescent="0.2">
      <c r="A671" s="29" t="s">
        <v>643</v>
      </c>
      <c r="B671" s="30" t="s">
        <v>644</v>
      </c>
      <c r="C671" s="36"/>
      <c r="D671" s="36"/>
      <c r="E671" s="30"/>
      <c r="F671" s="45">
        <f t="shared" si="136"/>
        <v>2100</v>
      </c>
      <c r="G671" s="45">
        <f t="shared" si="136"/>
        <v>0</v>
      </c>
      <c r="H671" s="45">
        <f>H672</f>
        <v>0</v>
      </c>
    </row>
    <row r="672" spans="1:8" s="14" customFormat="1" ht="15" x14ac:dyDescent="0.2">
      <c r="A672" s="29" t="s">
        <v>367</v>
      </c>
      <c r="B672" s="30" t="s">
        <v>644</v>
      </c>
      <c r="C672" s="30" t="s">
        <v>206</v>
      </c>
      <c r="D672" s="30"/>
      <c r="E672" s="30"/>
      <c r="F672" s="45">
        <f t="shared" si="136"/>
        <v>2100</v>
      </c>
      <c r="G672" s="45">
        <f t="shared" si="136"/>
        <v>0</v>
      </c>
      <c r="H672" s="45">
        <f>H673</f>
        <v>0</v>
      </c>
    </row>
    <row r="673" spans="1:8" s="14" customFormat="1" ht="15" x14ac:dyDescent="0.2">
      <c r="A673" s="29" t="s">
        <v>564</v>
      </c>
      <c r="B673" s="30" t="s">
        <v>644</v>
      </c>
      <c r="C673" s="30" t="s">
        <v>206</v>
      </c>
      <c r="D673" s="30" t="s">
        <v>352</v>
      </c>
      <c r="E673" s="30"/>
      <c r="F673" s="45">
        <f t="shared" si="136"/>
        <v>2100</v>
      </c>
      <c r="G673" s="45">
        <f t="shared" si="136"/>
        <v>0</v>
      </c>
      <c r="H673" s="45">
        <f>H674</f>
        <v>0</v>
      </c>
    </row>
    <row r="674" spans="1:8" s="14" customFormat="1" ht="15" x14ac:dyDescent="0.2">
      <c r="A674" s="35" t="s">
        <v>195</v>
      </c>
      <c r="B674" s="36" t="s">
        <v>644</v>
      </c>
      <c r="C674" s="36" t="s">
        <v>206</v>
      </c>
      <c r="D674" s="36" t="s">
        <v>352</v>
      </c>
      <c r="E674" s="36" t="s">
        <v>196</v>
      </c>
      <c r="F674" s="46">
        <f>F675</f>
        <v>2100</v>
      </c>
      <c r="G674" s="46">
        <f>G675</f>
        <v>0</v>
      </c>
      <c r="H674" s="46">
        <f>H675</f>
        <v>0</v>
      </c>
    </row>
    <row r="675" spans="1:8" s="14" customFormat="1" ht="15" x14ac:dyDescent="0.2">
      <c r="A675" s="35" t="s">
        <v>197</v>
      </c>
      <c r="B675" s="36" t="s">
        <v>644</v>
      </c>
      <c r="C675" s="36" t="s">
        <v>206</v>
      </c>
      <c r="D675" s="36" t="s">
        <v>352</v>
      </c>
      <c r="E675" s="36" t="s">
        <v>198</v>
      </c>
      <c r="F675" s="46">
        <v>2100</v>
      </c>
      <c r="G675" s="46">
        <v>0</v>
      </c>
      <c r="H675" s="46">
        <v>0</v>
      </c>
    </row>
    <row r="676" spans="1:8" s="14" customFormat="1" ht="15" x14ac:dyDescent="0.2">
      <c r="A676" s="80" t="s">
        <v>804</v>
      </c>
      <c r="B676" s="79" t="s">
        <v>552</v>
      </c>
      <c r="C676" s="79"/>
      <c r="D676" s="79"/>
      <c r="E676" s="79"/>
      <c r="F676" s="78">
        <f>F677+F682+F687+F699+F704+F709+F716+F721+F728+F735+F740+F745+F750+F755+F760+F765+F770+F692</f>
        <v>136120</v>
      </c>
      <c r="G676" s="78">
        <f>G677+G682+G687+G699+G704+G709+G716+G721+G728+G735+G740+G745+G750+G755+G760+G765+G770+G692</f>
        <v>210450</v>
      </c>
      <c r="H676" s="78">
        <f>H677+H682+H687+H699+H704+H709+H716+H721+H728+H735+H740+H745+H750+H755+H760+H765+H770+H692</f>
        <v>269990</v>
      </c>
    </row>
    <row r="677" spans="1:8" s="14" customFormat="1" ht="15" customHeight="1" x14ac:dyDescent="0.2">
      <c r="A677" s="75" t="s">
        <v>553</v>
      </c>
      <c r="B677" s="30" t="s">
        <v>554</v>
      </c>
      <c r="C677" s="30"/>
      <c r="D677" s="30"/>
      <c r="E677" s="30"/>
      <c r="F677" s="45">
        <f t="shared" ref="F677:H680" si="137">F678</f>
        <v>14000</v>
      </c>
      <c r="G677" s="45">
        <f t="shared" si="137"/>
        <v>0</v>
      </c>
      <c r="H677" s="45">
        <f t="shared" si="137"/>
        <v>0</v>
      </c>
    </row>
    <row r="678" spans="1:8" s="14" customFormat="1" ht="15" x14ac:dyDescent="0.2">
      <c r="A678" s="75" t="s">
        <v>290</v>
      </c>
      <c r="B678" s="30" t="s">
        <v>554</v>
      </c>
      <c r="C678" s="30" t="s">
        <v>177</v>
      </c>
      <c r="D678" s="30"/>
      <c r="E678" s="30"/>
      <c r="F678" s="45">
        <f t="shared" si="137"/>
        <v>14000</v>
      </c>
      <c r="G678" s="45">
        <f t="shared" si="137"/>
        <v>0</v>
      </c>
      <c r="H678" s="45">
        <f t="shared" si="137"/>
        <v>0</v>
      </c>
    </row>
    <row r="679" spans="1:8" s="14" customFormat="1" ht="15" x14ac:dyDescent="0.2">
      <c r="A679" s="29" t="s">
        <v>550</v>
      </c>
      <c r="B679" s="30" t="s">
        <v>554</v>
      </c>
      <c r="C679" s="30" t="s">
        <v>177</v>
      </c>
      <c r="D679" s="30" t="s">
        <v>206</v>
      </c>
      <c r="E679" s="30"/>
      <c r="F679" s="45">
        <f t="shared" si="137"/>
        <v>14000</v>
      </c>
      <c r="G679" s="45">
        <f t="shared" si="137"/>
        <v>0</v>
      </c>
      <c r="H679" s="45">
        <f t="shared" si="137"/>
        <v>0</v>
      </c>
    </row>
    <row r="680" spans="1:8" s="14" customFormat="1" ht="15" x14ac:dyDescent="0.2">
      <c r="A680" s="35" t="s">
        <v>344</v>
      </c>
      <c r="B680" s="36" t="s">
        <v>554</v>
      </c>
      <c r="C680" s="36" t="s">
        <v>177</v>
      </c>
      <c r="D680" s="36" t="s">
        <v>206</v>
      </c>
      <c r="E680" s="36" t="s">
        <v>345</v>
      </c>
      <c r="F680" s="46">
        <f t="shared" si="137"/>
        <v>14000</v>
      </c>
      <c r="G680" s="46">
        <f t="shared" si="137"/>
        <v>0</v>
      </c>
      <c r="H680" s="46">
        <f t="shared" si="137"/>
        <v>0</v>
      </c>
    </row>
    <row r="681" spans="1:8" s="14" customFormat="1" ht="15" x14ac:dyDescent="0.2">
      <c r="A681" s="35" t="s">
        <v>346</v>
      </c>
      <c r="B681" s="36" t="s">
        <v>554</v>
      </c>
      <c r="C681" s="36" t="s">
        <v>177</v>
      </c>
      <c r="D681" s="36" t="s">
        <v>206</v>
      </c>
      <c r="E681" s="36" t="s">
        <v>347</v>
      </c>
      <c r="F681" s="98">
        <f>14500-500</f>
        <v>14000</v>
      </c>
      <c r="G681" s="115">
        <v>0</v>
      </c>
      <c r="H681" s="115">
        <v>0</v>
      </c>
    </row>
    <row r="682" spans="1:8" s="14" customFormat="1" ht="15" x14ac:dyDescent="0.2">
      <c r="A682" s="29" t="s">
        <v>557</v>
      </c>
      <c r="B682" s="30" t="s">
        <v>558</v>
      </c>
      <c r="C682" s="30"/>
      <c r="D682" s="30"/>
      <c r="E682" s="30"/>
      <c r="F682" s="31">
        <f t="shared" ref="F682:H690" si="138">F683</f>
        <v>19020</v>
      </c>
      <c r="G682" s="31">
        <f t="shared" si="138"/>
        <v>10000</v>
      </c>
      <c r="H682" s="31">
        <f t="shared" si="138"/>
        <v>15000</v>
      </c>
    </row>
    <row r="683" spans="1:8" s="14" customFormat="1" ht="15" x14ac:dyDescent="0.2">
      <c r="A683" s="29" t="s">
        <v>290</v>
      </c>
      <c r="B683" s="30" t="s">
        <v>558</v>
      </c>
      <c r="C683" s="30" t="s">
        <v>177</v>
      </c>
      <c r="D683" s="30"/>
      <c r="E683" s="30"/>
      <c r="F683" s="31">
        <f t="shared" si="138"/>
        <v>19020</v>
      </c>
      <c r="G683" s="31">
        <f t="shared" si="138"/>
        <v>10000</v>
      </c>
      <c r="H683" s="31">
        <f t="shared" si="138"/>
        <v>15000</v>
      </c>
    </row>
    <row r="684" spans="1:8" s="14" customFormat="1" ht="15" x14ac:dyDescent="0.2">
      <c r="A684" s="29" t="s">
        <v>787</v>
      </c>
      <c r="B684" s="30" t="s">
        <v>558</v>
      </c>
      <c r="C684" s="30" t="s">
        <v>177</v>
      </c>
      <c r="D684" s="30" t="s">
        <v>292</v>
      </c>
      <c r="E684" s="30"/>
      <c r="F684" s="31">
        <f t="shared" si="138"/>
        <v>19020</v>
      </c>
      <c r="G684" s="31">
        <f t="shared" si="138"/>
        <v>10000</v>
      </c>
      <c r="H684" s="31">
        <f t="shared" si="138"/>
        <v>15000</v>
      </c>
    </row>
    <row r="685" spans="1:8" s="14" customFormat="1" ht="15" x14ac:dyDescent="0.2">
      <c r="A685" s="35" t="s">
        <v>195</v>
      </c>
      <c r="B685" s="36" t="s">
        <v>558</v>
      </c>
      <c r="C685" s="36" t="s">
        <v>177</v>
      </c>
      <c r="D685" s="36" t="s">
        <v>292</v>
      </c>
      <c r="E685" s="36" t="s">
        <v>196</v>
      </c>
      <c r="F685" s="37">
        <f t="shared" si="138"/>
        <v>19020</v>
      </c>
      <c r="G685" s="37">
        <f t="shared" si="138"/>
        <v>10000</v>
      </c>
      <c r="H685" s="37">
        <f t="shared" si="138"/>
        <v>15000</v>
      </c>
    </row>
    <row r="686" spans="1:8" s="14" customFormat="1" ht="15" x14ac:dyDescent="0.2">
      <c r="A686" s="35" t="s">
        <v>197</v>
      </c>
      <c r="B686" s="36" t="s">
        <v>558</v>
      </c>
      <c r="C686" s="36" t="s">
        <v>177</v>
      </c>
      <c r="D686" s="36" t="s">
        <v>292</v>
      </c>
      <c r="E686" s="36" t="s">
        <v>198</v>
      </c>
      <c r="F686" s="98">
        <f>15000+4020</f>
        <v>19020</v>
      </c>
      <c r="G686" s="98">
        <v>10000</v>
      </c>
      <c r="H686" s="98">
        <v>15000</v>
      </c>
    </row>
    <row r="687" spans="1:8" s="14" customFormat="1" ht="15" x14ac:dyDescent="0.2">
      <c r="A687" s="29" t="s">
        <v>559</v>
      </c>
      <c r="B687" s="30" t="s">
        <v>560</v>
      </c>
      <c r="C687" s="30"/>
      <c r="D687" s="30"/>
      <c r="E687" s="30"/>
      <c r="F687" s="45">
        <f t="shared" si="138"/>
        <v>0</v>
      </c>
      <c r="G687" s="31">
        <f t="shared" si="138"/>
        <v>6500</v>
      </c>
      <c r="H687" s="31">
        <f t="shared" si="138"/>
        <v>13075</v>
      </c>
    </row>
    <row r="688" spans="1:8" s="14" customFormat="1" ht="15" x14ac:dyDescent="0.2">
      <c r="A688" s="29" t="s">
        <v>290</v>
      </c>
      <c r="B688" s="30" t="s">
        <v>560</v>
      </c>
      <c r="C688" s="30" t="s">
        <v>177</v>
      </c>
      <c r="D688" s="30"/>
      <c r="E688" s="30"/>
      <c r="F688" s="45">
        <f t="shared" si="138"/>
        <v>0</v>
      </c>
      <c r="G688" s="31">
        <f t="shared" si="138"/>
        <v>6500</v>
      </c>
      <c r="H688" s="31">
        <f t="shared" si="138"/>
        <v>13075</v>
      </c>
    </row>
    <row r="689" spans="1:8" s="14" customFormat="1" ht="15" x14ac:dyDescent="0.2">
      <c r="A689" s="29" t="s">
        <v>787</v>
      </c>
      <c r="B689" s="30" t="s">
        <v>560</v>
      </c>
      <c r="C689" s="30" t="s">
        <v>177</v>
      </c>
      <c r="D689" s="30" t="s">
        <v>292</v>
      </c>
      <c r="E689" s="30"/>
      <c r="F689" s="45">
        <f t="shared" si="138"/>
        <v>0</v>
      </c>
      <c r="G689" s="31">
        <f t="shared" si="138"/>
        <v>6500</v>
      </c>
      <c r="H689" s="31">
        <f t="shared" si="138"/>
        <v>13075</v>
      </c>
    </row>
    <row r="690" spans="1:8" s="14" customFormat="1" ht="15" x14ac:dyDescent="0.2">
      <c r="A690" s="35" t="s">
        <v>195</v>
      </c>
      <c r="B690" s="36" t="s">
        <v>560</v>
      </c>
      <c r="C690" s="36" t="s">
        <v>177</v>
      </c>
      <c r="D690" s="36" t="s">
        <v>292</v>
      </c>
      <c r="E690" s="36" t="s">
        <v>196</v>
      </c>
      <c r="F690" s="46">
        <f t="shared" si="138"/>
        <v>0</v>
      </c>
      <c r="G690" s="37">
        <f t="shared" si="138"/>
        <v>6500</v>
      </c>
      <c r="H690" s="37">
        <f t="shared" si="138"/>
        <v>13075</v>
      </c>
    </row>
    <row r="691" spans="1:8" s="14" customFormat="1" ht="15" x14ac:dyDescent="0.2">
      <c r="A691" s="35" t="s">
        <v>197</v>
      </c>
      <c r="B691" s="36" t="s">
        <v>560</v>
      </c>
      <c r="C691" s="36" t="s">
        <v>177</v>
      </c>
      <c r="D691" s="36" t="s">
        <v>292</v>
      </c>
      <c r="E691" s="36" t="s">
        <v>198</v>
      </c>
      <c r="F691" s="115">
        <v>0</v>
      </c>
      <c r="G691" s="98">
        <f>11500-5000</f>
        <v>6500</v>
      </c>
      <c r="H691" s="98">
        <v>13075</v>
      </c>
    </row>
    <row r="692" spans="1:8" s="14" customFormat="1" ht="15" x14ac:dyDescent="0.2">
      <c r="A692" s="50" t="s">
        <v>555</v>
      </c>
      <c r="B692" s="30" t="s">
        <v>556</v>
      </c>
      <c r="C692" s="30"/>
      <c r="D692" s="30"/>
      <c r="E692" s="30"/>
      <c r="F692" s="31">
        <f t="shared" ref="F692:H697" si="139">F693</f>
        <v>200</v>
      </c>
      <c r="G692" s="45">
        <f t="shared" si="139"/>
        <v>0</v>
      </c>
      <c r="H692" s="45">
        <f t="shared" si="139"/>
        <v>0</v>
      </c>
    </row>
    <row r="693" spans="1:8" s="14" customFormat="1" ht="15" x14ac:dyDescent="0.2">
      <c r="A693" s="50" t="s">
        <v>290</v>
      </c>
      <c r="B693" s="30" t="s">
        <v>556</v>
      </c>
      <c r="C693" s="30" t="s">
        <v>177</v>
      </c>
      <c r="D693" s="30"/>
      <c r="E693" s="30"/>
      <c r="F693" s="31">
        <f t="shared" si="139"/>
        <v>200</v>
      </c>
      <c r="G693" s="45">
        <f t="shared" si="139"/>
        <v>0</v>
      </c>
      <c r="H693" s="45">
        <f t="shared" si="139"/>
        <v>0</v>
      </c>
    </row>
    <row r="694" spans="1:8" s="14" customFormat="1" ht="15" x14ac:dyDescent="0.2">
      <c r="A694" s="29" t="s">
        <v>550</v>
      </c>
      <c r="B694" s="30" t="s">
        <v>556</v>
      </c>
      <c r="C694" s="30" t="s">
        <v>177</v>
      </c>
      <c r="D694" s="30" t="s">
        <v>206</v>
      </c>
      <c r="E694" s="30"/>
      <c r="F694" s="31">
        <f>F697+F695</f>
        <v>200</v>
      </c>
      <c r="G694" s="45">
        <f>G697</f>
        <v>0</v>
      </c>
      <c r="H694" s="45">
        <f>H697</f>
        <v>0</v>
      </c>
    </row>
    <row r="695" spans="1:8" s="14" customFormat="1" ht="15" x14ac:dyDescent="0.2">
      <c r="A695" s="35" t="s">
        <v>195</v>
      </c>
      <c r="B695" s="36" t="s">
        <v>556</v>
      </c>
      <c r="C695" s="36" t="s">
        <v>177</v>
      </c>
      <c r="D695" s="36" t="s">
        <v>206</v>
      </c>
      <c r="E695" s="36" t="s">
        <v>196</v>
      </c>
      <c r="F695" s="37">
        <f>F696</f>
        <v>105</v>
      </c>
      <c r="G695" s="46">
        <f>G696</f>
        <v>0</v>
      </c>
      <c r="H695" s="46">
        <f>H696</f>
        <v>0</v>
      </c>
    </row>
    <row r="696" spans="1:8" s="14" customFormat="1" ht="15" x14ac:dyDescent="0.2">
      <c r="A696" s="35" t="s">
        <v>197</v>
      </c>
      <c r="B696" s="36" t="s">
        <v>556</v>
      </c>
      <c r="C696" s="36" t="s">
        <v>177</v>
      </c>
      <c r="D696" s="36" t="s">
        <v>206</v>
      </c>
      <c r="E696" s="36" t="s">
        <v>198</v>
      </c>
      <c r="F696" s="37">
        <f>35+70</f>
        <v>105</v>
      </c>
      <c r="G696" s="46">
        <v>0</v>
      </c>
      <c r="H696" s="46">
        <v>0</v>
      </c>
    </row>
    <row r="697" spans="1:8" s="14" customFormat="1" ht="15" x14ac:dyDescent="0.2">
      <c r="A697" s="35" t="s">
        <v>344</v>
      </c>
      <c r="B697" s="36" t="s">
        <v>556</v>
      </c>
      <c r="C697" s="36" t="s">
        <v>177</v>
      </c>
      <c r="D697" s="36" t="s">
        <v>206</v>
      </c>
      <c r="E697" s="36" t="s">
        <v>345</v>
      </c>
      <c r="F697" s="37">
        <f t="shared" si="139"/>
        <v>95</v>
      </c>
      <c r="G697" s="46">
        <f t="shared" si="139"/>
        <v>0</v>
      </c>
      <c r="H697" s="46">
        <f t="shared" si="139"/>
        <v>0</v>
      </c>
    </row>
    <row r="698" spans="1:8" s="14" customFormat="1" ht="15" x14ac:dyDescent="0.2">
      <c r="A698" s="35" t="s">
        <v>346</v>
      </c>
      <c r="B698" s="36" t="s">
        <v>556</v>
      </c>
      <c r="C698" s="36" t="s">
        <v>177</v>
      </c>
      <c r="D698" s="36" t="s">
        <v>206</v>
      </c>
      <c r="E698" s="36" t="s">
        <v>347</v>
      </c>
      <c r="F698" s="98">
        <f>200-35-70</f>
        <v>95</v>
      </c>
      <c r="G698" s="115">
        <v>0</v>
      </c>
      <c r="H698" s="115">
        <v>0</v>
      </c>
    </row>
    <row r="699" spans="1:8" s="14" customFormat="1" ht="15" x14ac:dyDescent="0.2">
      <c r="A699" s="50" t="s">
        <v>555</v>
      </c>
      <c r="B699" s="30" t="s">
        <v>556</v>
      </c>
      <c r="C699" s="30"/>
      <c r="D699" s="30"/>
      <c r="E699" s="30"/>
      <c r="F699" s="31">
        <f t="shared" ref="F699:H702" si="140">F700</f>
        <v>500</v>
      </c>
      <c r="G699" s="31">
        <f t="shared" si="140"/>
        <v>500</v>
      </c>
      <c r="H699" s="31">
        <f t="shared" si="140"/>
        <v>500</v>
      </c>
    </row>
    <row r="700" spans="1:8" s="14" customFormat="1" ht="15" x14ac:dyDescent="0.2">
      <c r="A700" s="50" t="s">
        <v>290</v>
      </c>
      <c r="B700" s="30" t="s">
        <v>556</v>
      </c>
      <c r="C700" s="30" t="s">
        <v>177</v>
      </c>
      <c r="D700" s="30"/>
      <c r="E700" s="30"/>
      <c r="F700" s="31">
        <f t="shared" si="140"/>
        <v>500</v>
      </c>
      <c r="G700" s="31">
        <f t="shared" si="140"/>
        <v>500</v>
      </c>
      <c r="H700" s="31">
        <f t="shared" si="140"/>
        <v>500</v>
      </c>
    </row>
    <row r="701" spans="1:8" s="14" customFormat="1" ht="15" x14ac:dyDescent="0.2">
      <c r="A701" s="50" t="s">
        <v>787</v>
      </c>
      <c r="B701" s="30" t="s">
        <v>556</v>
      </c>
      <c r="C701" s="30" t="s">
        <v>177</v>
      </c>
      <c r="D701" s="30" t="s">
        <v>292</v>
      </c>
      <c r="E701" s="30"/>
      <c r="F701" s="31">
        <f t="shared" si="140"/>
        <v>500</v>
      </c>
      <c r="G701" s="31">
        <f t="shared" si="140"/>
        <v>500</v>
      </c>
      <c r="H701" s="31">
        <f t="shared" si="140"/>
        <v>500</v>
      </c>
    </row>
    <row r="702" spans="1:8" s="14" customFormat="1" ht="15" x14ac:dyDescent="0.2">
      <c r="A702" s="35" t="s">
        <v>195</v>
      </c>
      <c r="B702" s="36" t="s">
        <v>556</v>
      </c>
      <c r="C702" s="36" t="s">
        <v>177</v>
      </c>
      <c r="D702" s="36" t="s">
        <v>292</v>
      </c>
      <c r="E702" s="36" t="s">
        <v>196</v>
      </c>
      <c r="F702" s="37">
        <f t="shared" si="140"/>
        <v>500</v>
      </c>
      <c r="G702" s="37">
        <f t="shared" si="140"/>
        <v>500</v>
      </c>
      <c r="H702" s="37">
        <f t="shared" si="140"/>
        <v>500</v>
      </c>
    </row>
    <row r="703" spans="1:8" s="14" customFormat="1" ht="15" x14ac:dyDescent="0.2">
      <c r="A703" s="35" t="s">
        <v>197</v>
      </c>
      <c r="B703" s="36" t="s">
        <v>556</v>
      </c>
      <c r="C703" s="36" t="s">
        <v>177</v>
      </c>
      <c r="D703" s="36" t="s">
        <v>292</v>
      </c>
      <c r="E703" s="36" t="s">
        <v>198</v>
      </c>
      <c r="F703" s="98">
        <v>500</v>
      </c>
      <c r="G703" s="98">
        <v>500</v>
      </c>
      <c r="H703" s="98">
        <v>500</v>
      </c>
    </row>
    <row r="704" spans="1:8" s="14" customFormat="1" ht="15" x14ac:dyDescent="0.2">
      <c r="A704" s="50" t="s">
        <v>555</v>
      </c>
      <c r="B704" s="30" t="s">
        <v>556</v>
      </c>
      <c r="C704" s="30"/>
      <c r="D704" s="30"/>
      <c r="E704" s="30"/>
      <c r="F704" s="45">
        <f t="shared" ref="F704:H707" si="141">F705</f>
        <v>300</v>
      </c>
      <c r="G704" s="45">
        <f t="shared" si="141"/>
        <v>500</v>
      </c>
      <c r="H704" s="45">
        <f t="shared" si="141"/>
        <v>500</v>
      </c>
    </row>
    <row r="705" spans="1:8" s="14" customFormat="1" ht="15" x14ac:dyDescent="0.2">
      <c r="A705" s="29" t="s">
        <v>367</v>
      </c>
      <c r="B705" s="30" t="s">
        <v>556</v>
      </c>
      <c r="C705" s="30" t="s">
        <v>206</v>
      </c>
      <c r="D705" s="30"/>
      <c r="E705" s="30"/>
      <c r="F705" s="45">
        <f t="shared" si="141"/>
        <v>300</v>
      </c>
      <c r="G705" s="45">
        <f t="shared" si="141"/>
        <v>500</v>
      </c>
      <c r="H705" s="45">
        <f t="shared" si="141"/>
        <v>500</v>
      </c>
    </row>
    <row r="706" spans="1:8" s="14" customFormat="1" ht="15" x14ac:dyDescent="0.2">
      <c r="A706" s="29" t="s">
        <v>561</v>
      </c>
      <c r="B706" s="30" t="s">
        <v>556</v>
      </c>
      <c r="C706" s="30" t="s">
        <v>206</v>
      </c>
      <c r="D706" s="30" t="s">
        <v>173</v>
      </c>
      <c r="E706" s="30"/>
      <c r="F706" s="45">
        <f t="shared" si="141"/>
        <v>300</v>
      </c>
      <c r="G706" s="45">
        <f t="shared" si="141"/>
        <v>500</v>
      </c>
      <c r="H706" s="45">
        <f t="shared" si="141"/>
        <v>500</v>
      </c>
    </row>
    <row r="707" spans="1:8" s="14" customFormat="1" ht="15" x14ac:dyDescent="0.2">
      <c r="A707" s="35" t="s">
        <v>195</v>
      </c>
      <c r="B707" s="36" t="s">
        <v>556</v>
      </c>
      <c r="C707" s="36" t="s">
        <v>206</v>
      </c>
      <c r="D707" s="36" t="s">
        <v>173</v>
      </c>
      <c r="E707" s="36" t="s">
        <v>196</v>
      </c>
      <c r="F707" s="46">
        <f t="shared" si="141"/>
        <v>300</v>
      </c>
      <c r="G707" s="46">
        <f t="shared" si="141"/>
        <v>500</v>
      </c>
      <c r="H707" s="46">
        <f t="shared" si="141"/>
        <v>500</v>
      </c>
    </row>
    <row r="708" spans="1:8" s="14" customFormat="1" ht="15" x14ac:dyDescent="0.2">
      <c r="A708" s="35" t="s">
        <v>197</v>
      </c>
      <c r="B708" s="36" t="s">
        <v>556</v>
      </c>
      <c r="C708" s="36" t="s">
        <v>206</v>
      </c>
      <c r="D708" s="36" t="s">
        <v>173</v>
      </c>
      <c r="E708" s="36" t="s">
        <v>198</v>
      </c>
      <c r="F708" s="98">
        <v>300</v>
      </c>
      <c r="G708" s="115">
        <v>500</v>
      </c>
      <c r="H708" s="98">
        <v>500</v>
      </c>
    </row>
    <row r="709" spans="1:8" s="14" customFormat="1" ht="15" x14ac:dyDescent="0.2">
      <c r="A709" s="50" t="s">
        <v>555</v>
      </c>
      <c r="B709" s="30" t="s">
        <v>556</v>
      </c>
      <c r="C709" s="30"/>
      <c r="D709" s="30"/>
      <c r="E709" s="36"/>
      <c r="F709" s="45">
        <f t="shared" ref="F709:H714" si="142">F710</f>
        <v>150</v>
      </c>
      <c r="G709" s="45">
        <f t="shared" si="142"/>
        <v>4000</v>
      </c>
      <c r="H709" s="45">
        <f t="shared" si="142"/>
        <v>5000</v>
      </c>
    </row>
    <row r="710" spans="1:8" s="14" customFormat="1" ht="15" x14ac:dyDescent="0.2">
      <c r="A710" s="29" t="s">
        <v>367</v>
      </c>
      <c r="B710" s="30" t="s">
        <v>556</v>
      </c>
      <c r="C710" s="30" t="s">
        <v>206</v>
      </c>
      <c r="D710" s="30"/>
      <c r="E710" s="36"/>
      <c r="F710" s="45">
        <f t="shared" si="142"/>
        <v>150</v>
      </c>
      <c r="G710" s="45">
        <f t="shared" si="142"/>
        <v>4000</v>
      </c>
      <c r="H710" s="45">
        <f t="shared" si="142"/>
        <v>5000</v>
      </c>
    </row>
    <row r="711" spans="1:8" s="14" customFormat="1" ht="15" x14ac:dyDescent="0.2">
      <c r="A711" s="29" t="s">
        <v>564</v>
      </c>
      <c r="B711" s="30" t="s">
        <v>556</v>
      </c>
      <c r="C711" s="30" t="s">
        <v>206</v>
      </c>
      <c r="D711" s="30" t="s">
        <v>352</v>
      </c>
      <c r="E711" s="36"/>
      <c r="F711" s="45">
        <f>F714+F712</f>
        <v>150</v>
      </c>
      <c r="G711" s="45">
        <f>G714+G712</f>
        <v>4000</v>
      </c>
      <c r="H711" s="45">
        <f>H714+H712</f>
        <v>5000</v>
      </c>
    </row>
    <row r="712" spans="1:8" s="14" customFormat="1" ht="15" x14ac:dyDescent="0.2">
      <c r="A712" s="35" t="s">
        <v>195</v>
      </c>
      <c r="B712" s="36" t="s">
        <v>556</v>
      </c>
      <c r="C712" s="36" t="s">
        <v>206</v>
      </c>
      <c r="D712" s="36" t="s">
        <v>352</v>
      </c>
      <c r="E712" s="36" t="s">
        <v>196</v>
      </c>
      <c r="F712" s="37">
        <f>F713</f>
        <v>34</v>
      </c>
      <c r="G712" s="46">
        <f>G713</f>
        <v>0</v>
      </c>
      <c r="H712" s="46">
        <f>H713</f>
        <v>0</v>
      </c>
    </row>
    <row r="713" spans="1:8" s="14" customFormat="1" ht="15" x14ac:dyDescent="0.2">
      <c r="A713" s="35" t="s">
        <v>197</v>
      </c>
      <c r="B713" s="36" t="s">
        <v>556</v>
      </c>
      <c r="C713" s="36" t="s">
        <v>206</v>
      </c>
      <c r="D713" s="36" t="s">
        <v>352</v>
      </c>
      <c r="E713" s="36" t="s">
        <v>198</v>
      </c>
      <c r="F713" s="37">
        <f>12+22</f>
        <v>34</v>
      </c>
      <c r="G713" s="46">
        <v>0</v>
      </c>
      <c r="H713" s="46">
        <v>0</v>
      </c>
    </row>
    <row r="714" spans="1:8" s="14" customFormat="1" ht="15" x14ac:dyDescent="0.2">
      <c r="A714" s="35" t="s">
        <v>344</v>
      </c>
      <c r="B714" s="36" t="s">
        <v>556</v>
      </c>
      <c r="C714" s="36" t="s">
        <v>206</v>
      </c>
      <c r="D714" s="36" t="s">
        <v>352</v>
      </c>
      <c r="E714" s="36" t="s">
        <v>345</v>
      </c>
      <c r="F714" s="46">
        <f t="shared" si="142"/>
        <v>116</v>
      </c>
      <c r="G714" s="46">
        <f t="shared" si="142"/>
        <v>4000</v>
      </c>
      <c r="H714" s="46">
        <f t="shared" si="142"/>
        <v>5000</v>
      </c>
    </row>
    <row r="715" spans="1:8" s="14" customFormat="1" ht="15" x14ac:dyDescent="0.2">
      <c r="A715" s="35" t="s">
        <v>346</v>
      </c>
      <c r="B715" s="36" t="s">
        <v>556</v>
      </c>
      <c r="C715" s="36" t="s">
        <v>206</v>
      </c>
      <c r="D715" s="36" t="s">
        <v>352</v>
      </c>
      <c r="E715" s="36" t="s">
        <v>347</v>
      </c>
      <c r="F715" s="115">
        <f>50+100-12-22</f>
        <v>116</v>
      </c>
      <c r="G715" s="115">
        <f>5000-1000</f>
        <v>4000</v>
      </c>
      <c r="H715" s="115">
        <v>5000</v>
      </c>
    </row>
    <row r="716" spans="1:8" s="14" customFormat="1" ht="15" x14ac:dyDescent="0.2">
      <c r="A716" s="50" t="s">
        <v>555</v>
      </c>
      <c r="B716" s="30" t="s">
        <v>556</v>
      </c>
      <c r="C716" s="30"/>
      <c r="D716" s="30"/>
      <c r="E716" s="30"/>
      <c r="F716" s="45">
        <f t="shared" ref="F716:H719" si="143">F717</f>
        <v>500</v>
      </c>
      <c r="G716" s="45">
        <f t="shared" si="143"/>
        <v>2200</v>
      </c>
      <c r="H716" s="45">
        <f t="shared" si="143"/>
        <v>2500</v>
      </c>
    </row>
    <row r="717" spans="1:8" s="14" customFormat="1" ht="15" x14ac:dyDescent="0.2">
      <c r="A717" s="29" t="s">
        <v>367</v>
      </c>
      <c r="B717" s="30" t="s">
        <v>556</v>
      </c>
      <c r="C717" s="30" t="s">
        <v>206</v>
      </c>
      <c r="D717" s="30"/>
      <c r="E717" s="30"/>
      <c r="F717" s="45">
        <f t="shared" si="143"/>
        <v>500</v>
      </c>
      <c r="G717" s="45">
        <f t="shared" si="143"/>
        <v>2200</v>
      </c>
      <c r="H717" s="45">
        <f t="shared" si="143"/>
        <v>2500</v>
      </c>
    </row>
    <row r="718" spans="1:8" s="14" customFormat="1" ht="15" x14ac:dyDescent="0.2">
      <c r="A718" s="29" t="s">
        <v>785</v>
      </c>
      <c r="B718" s="30" t="s">
        <v>556</v>
      </c>
      <c r="C718" s="30" t="s">
        <v>206</v>
      </c>
      <c r="D718" s="30" t="s">
        <v>283</v>
      </c>
      <c r="E718" s="30"/>
      <c r="F718" s="45">
        <f t="shared" si="143"/>
        <v>500</v>
      </c>
      <c r="G718" s="45">
        <f t="shared" si="143"/>
        <v>2200</v>
      </c>
      <c r="H718" s="45">
        <f t="shared" si="143"/>
        <v>2500</v>
      </c>
    </row>
    <row r="719" spans="1:8" s="14" customFormat="1" ht="15" x14ac:dyDescent="0.2">
      <c r="A719" s="35" t="s">
        <v>195</v>
      </c>
      <c r="B719" s="36" t="s">
        <v>556</v>
      </c>
      <c r="C719" s="36" t="s">
        <v>206</v>
      </c>
      <c r="D719" s="36" t="s">
        <v>283</v>
      </c>
      <c r="E719" s="36" t="s">
        <v>196</v>
      </c>
      <c r="F719" s="46">
        <f t="shared" si="143"/>
        <v>500</v>
      </c>
      <c r="G719" s="46">
        <f t="shared" si="143"/>
        <v>2200</v>
      </c>
      <c r="H719" s="46">
        <f t="shared" si="143"/>
        <v>2500</v>
      </c>
    </row>
    <row r="720" spans="1:8" s="14" customFormat="1" ht="15" x14ac:dyDescent="0.2">
      <c r="A720" s="35" t="s">
        <v>197</v>
      </c>
      <c r="B720" s="36" t="s">
        <v>556</v>
      </c>
      <c r="C720" s="36" t="s">
        <v>206</v>
      </c>
      <c r="D720" s="36" t="s">
        <v>283</v>
      </c>
      <c r="E720" s="36" t="s">
        <v>198</v>
      </c>
      <c r="F720" s="98">
        <v>500</v>
      </c>
      <c r="G720" s="115">
        <v>2200</v>
      </c>
      <c r="H720" s="115">
        <v>2500</v>
      </c>
    </row>
    <row r="721" spans="1:8" s="14" customFormat="1" ht="15" x14ac:dyDescent="0.2">
      <c r="A721" s="50" t="s">
        <v>555</v>
      </c>
      <c r="B721" s="30" t="s">
        <v>556</v>
      </c>
      <c r="C721" s="30"/>
      <c r="D721" s="30"/>
      <c r="E721" s="30"/>
      <c r="F721" s="45">
        <f t="shared" ref="F721:H722" si="144">F722</f>
        <v>4550</v>
      </c>
      <c r="G721" s="45">
        <f t="shared" si="144"/>
        <v>12750</v>
      </c>
      <c r="H721" s="45">
        <f t="shared" si="144"/>
        <v>16540</v>
      </c>
    </row>
    <row r="722" spans="1:8" s="14" customFormat="1" ht="15" x14ac:dyDescent="0.2">
      <c r="A722" s="50" t="s">
        <v>374</v>
      </c>
      <c r="B722" s="30" t="s">
        <v>556</v>
      </c>
      <c r="C722" s="30" t="s">
        <v>375</v>
      </c>
      <c r="D722" s="30"/>
      <c r="E722" s="30"/>
      <c r="F722" s="45">
        <f t="shared" si="144"/>
        <v>4550</v>
      </c>
      <c r="G722" s="45">
        <f t="shared" si="144"/>
        <v>12750</v>
      </c>
      <c r="H722" s="45">
        <f t="shared" si="144"/>
        <v>16540</v>
      </c>
    </row>
    <row r="723" spans="1:8" s="14" customFormat="1" ht="15" x14ac:dyDescent="0.2">
      <c r="A723" s="50" t="s">
        <v>569</v>
      </c>
      <c r="B723" s="30" t="s">
        <v>556</v>
      </c>
      <c r="C723" s="30" t="s">
        <v>375</v>
      </c>
      <c r="D723" s="30" t="s">
        <v>412</v>
      </c>
      <c r="E723" s="30"/>
      <c r="F723" s="45">
        <f>F724+F726</f>
        <v>4550</v>
      </c>
      <c r="G723" s="45">
        <f>G724+G726</f>
        <v>12750</v>
      </c>
      <c r="H723" s="45">
        <f>H724+H726</f>
        <v>16540</v>
      </c>
    </row>
    <row r="724" spans="1:8" s="14" customFormat="1" ht="15" x14ac:dyDescent="0.2">
      <c r="A724" s="35" t="s">
        <v>195</v>
      </c>
      <c r="B724" s="36" t="s">
        <v>556</v>
      </c>
      <c r="C724" s="36" t="s">
        <v>375</v>
      </c>
      <c r="D724" s="36" t="s">
        <v>412</v>
      </c>
      <c r="E724" s="36" t="s">
        <v>196</v>
      </c>
      <c r="F724" s="46">
        <f>F725</f>
        <v>3823.53658</v>
      </c>
      <c r="G724" s="46">
        <f>G725</f>
        <v>12750</v>
      </c>
      <c r="H724" s="46">
        <f>H725</f>
        <v>16540</v>
      </c>
    </row>
    <row r="725" spans="1:8" s="14" customFormat="1" ht="15" x14ac:dyDescent="0.2">
      <c r="A725" s="35" t="s">
        <v>197</v>
      </c>
      <c r="B725" s="36" t="s">
        <v>556</v>
      </c>
      <c r="C725" s="36" t="s">
        <v>375</v>
      </c>
      <c r="D725" s="36" t="s">
        <v>412</v>
      </c>
      <c r="E725" s="36" t="s">
        <v>198</v>
      </c>
      <c r="F725" s="98">
        <f>5000-50-726.46342-400</f>
        <v>3823.53658</v>
      </c>
      <c r="G725" s="115">
        <f>15750-3000</f>
        <v>12750</v>
      </c>
      <c r="H725" s="115">
        <v>16540</v>
      </c>
    </row>
    <row r="726" spans="1:8" s="14" customFormat="1" ht="15" x14ac:dyDescent="0.2">
      <c r="A726" s="73" t="s">
        <v>344</v>
      </c>
      <c r="B726" s="36" t="s">
        <v>556</v>
      </c>
      <c r="C726" s="36" t="s">
        <v>375</v>
      </c>
      <c r="D726" s="36" t="s">
        <v>412</v>
      </c>
      <c r="E726" s="36" t="s">
        <v>345</v>
      </c>
      <c r="F726" s="98">
        <f>F727</f>
        <v>726.46342000000004</v>
      </c>
      <c r="G726" s="115">
        <f>G727</f>
        <v>0</v>
      </c>
      <c r="H726" s="115">
        <f>H727</f>
        <v>0</v>
      </c>
    </row>
    <row r="727" spans="1:8" s="14" customFormat="1" ht="15" x14ac:dyDescent="0.2">
      <c r="A727" s="73" t="s">
        <v>346</v>
      </c>
      <c r="B727" s="36" t="s">
        <v>556</v>
      </c>
      <c r="C727" s="36" t="s">
        <v>375</v>
      </c>
      <c r="D727" s="36" t="s">
        <v>412</v>
      </c>
      <c r="E727" s="36" t="s">
        <v>347</v>
      </c>
      <c r="F727" s="98">
        <v>726.46342000000004</v>
      </c>
      <c r="G727" s="115">
        <v>0</v>
      </c>
      <c r="H727" s="115">
        <v>0</v>
      </c>
    </row>
    <row r="728" spans="1:8" s="14" customFormat="1" ht="15" x14ac:dyDescent="0.2">
      <c r="A728" s="50" t="s">
        <v>555</v>
      </c>
      <c r="B728" s="30" t="s">
        <v>556</v>
      </c>
      <c r="C728" s="30"/>
      <c r="D728" s="30"/>
      <c r="E728" s="30"/>
      <c r="F728" s="45">
        <f t="shared" ref="F728:H729" si="145">F729</f>
        <v>100</v>
      </c>
      <c r="G728" s="45">
        <f t="shared" si="145"/>
        <v>1500</v>
      </c>
      <c r="H728" s="45">
        <f t="shared" si="145"/>
        <v>0</v>
      </c>
    </row>
    <row r="729" spans="1:8" s="14" customFormat="1" ht="15" x14ac:dyDescent="0.2">
      <c r="A729" s="50" t="s">
        <v>446</v>
      </c>
      <c r="B729" s="30" t="s">
        <v>556</v>
      </c>
      <c r="C729" s="30" t="s">
        <v>404</v>
      </c>
      <c r="D729" s="30"/>
      <c r="E729" s="30"/>
      <c r="F729" s="45">
        <f t="shared" si="145"/>
        <v>100</v>
      </c>
      <c r="G729" s="45">
        <f t="shared" si="145"/>
        <v>1500</v>
      </c>
      <c r="H729" s="45">
        <f t="shared" si="145"/>
        <v>0</v>
      </c>
    </row>
    <row r="730" spans="1:8" s="14" customFormat="1" ht="15" x14ac:dyDescent="0.2">
      <c r="A730" s="50" t="s">
        <v>488</v>
      </c>
      <c r="B730" s="30" t="s">
        <v>556</v>
      </c>
      <c r="C730" s="30" t="s">
        <v>404</v>
      </c>
      <c r="D730" s="30" t="s">
        <v>177</v>
      </c>
      <c r="E730" s="30"/>
      <c r="F730" s="45">
        <f>F733+F731</f>
        <v>100</v>
      </c>
      <c r="G730" s="45">
        <f>G733+G731</f>
        <v>1500</v>
      </c>
      <c r="H730" s="45">
        <f>H733</f>
        <v>0</v>
      </c>
    </row>
    <row r="731" spans="1:8" s="14" customFormat="1" ht="15" x14ac:dyDescent="0.2">
      <c r="A731" s="35" t="s">
        <v>195</v>
      </c>
      <c r="B731" s="36" t="s">
        <v>556</v>
      </c>
      <c r="C731" s="36" t="s">
        <v>404</v>
      </c>
      <c r="D731" s="36" t="s">
        <v>177</v>
      </c>
      <c r="E731" s="36" t="s">
        <v>196</v>
      </c>
      <c r="F731" s="37">
        <f>F732</f>
        <v>38</v>
      </c>
      <c r="G731" s="46">
        <f>G732</f>
        <v>0</v>
      </c>
      <c r="H731" s="46">
        <f>H732</f>
        <v>0</v>
      </c>
    </row>
    <row r="732" spans="1:8" s="14" customFormat="1" ht="15" x14ac:dyDescent="0.2">
      <c r="A732" s="35" t="s">
        <v>197</v>
      </c>
      <c r="B732" s="36" t="s">
        <v>556</v>
      </c>
      <c r="C732" s="36" t="s">
        <v>404</v>
      </c>
      <c r="D732" s="36" t="s">
        <v>177</v>
      </c>
      <c r="E732" s="36" t="s">
        <v>198</v>
      </c>
      <c r="F732" s="37">
        <v>38</v>
      </c>
      <c r="G732" s="46">
        <v>0</v>
      </c>
      <c r="H732" s="46">
        <v>0</v>
      </c>
    </row>
    <row r="733" spans="1:8" s="14" customFormat="1" ht="15" x14ac:dyDescent="0.2">
      <c r="A733" s="73" t="s">
        <v>344</v>
      </c>
      <c r="B733" s="36" t="s">
        <v>556</v>
      </c>
      <c r="C733" s="36" t="s">
        <v>404</v>
      </c>
      <c r="D733" s="36" t="s">
        <v>177</v>
      </c>
      <c r="E733" s="36" t="s">
        <v>345</v>
      </c>
      <c r="F733" s="46">
        <f>F734</f>
        <v>62</v>
      </c>
      <c r="G733" s="46">
        <f>G734</f>
        <v>1500</v>
      </c>
      <c r="H733" s="46">
        <f>H734</f>
        <v>0</v>
      </c>
    </row>
    <row r="734" spans="1:8" s="14" customFormat="1" ht="15" x14ac:dyDescent="0.2">
      <c r="A734" s="73" t="s">
        <v>346</v>
      </c>
      <c r="B734" s="36" t="s">
        <v>556</v>
      </c>
      <c r="C734" s="36" t="s">
        <v>404</v>
      </c>
      <c r="D734" s="36" t="s">
        <v>177</v>
      </c>
      <c r="E734" s="36" t="s">
        <v>347</v>
      </c>
      <c r="F734" s="115">
        <f>100-38</f>
        <v>62</v>
      </c>
      <c r="G734" s="115">
        <v>1500</v>
      </c>
      <c r="H734" s="115">
        <v>0</v>
      </c>
    </row>
    <row r="735" spans="1:8" s="14" customFormat="1" ht="24" x14ac:dyDescent="0.2">
      <c r="A735" s="75" t="s">
        <v>562</v>
      </c>
      <c r="B735" s="30" t="s">
        <v>563</v>
      </c>
      <c r="C735" s="30"/>
      <c r="D735" s="30"/>
      <c r="E735" s="30"/>
      <c r="F735" s="45">
        <f t="shared" ref="F735:H738" si="146">F736</f>
        <v>1500</v>
      </c>
      <c r="G735" s="45">
        <f t="shared" si="146"/>
        <v>5500</v>
      </c>
      <c r="H735" s="45">
        <f t="shared" si="146"/>
        <v>6000</v>
      </c>
    </row>
    <row r="736" spans="1:8" s="14" customFormat="1" ht="15" x14ac:dyDescent="0.2">
      <c r="A736" s="29" t="s">
        <v>367</v>
      </c>
      <c r="B736" s="30" t="s">
        <v>563</v>
      </c>
      <c r="C736" s="30" t="s">
        <v>206</v>
      </c>
      <c r="D736" s="30"/>
      <c r="E736" s="30"/>
      <c r="F736" s="45">
        <f t="shared" si="146"/>
        <v>1500</v>
      </c>
      <c r="G736" s="45">
        <f t="shared" si="146"/>
        <v>5500</v>
      </c>
      <c r="H736" s="45">
        <f t="shared" si="146"/>
        <v>6000</v>
      </c>
    </row>
    <row r="737" spans="1:8" s="14" customFormat="1" ht="15" x14ac:dyDescent="0.2">
      <c r="A737" s="29" t="s">
        <v>561</v>
      </c>
      <c r="B737" s="30" t="s">
        <v>563</v>
      </c>
      <c r="C737" s="30" t="s">
        <v>206</v>
      </c>
      <c r="D737" s="30" t="s">
        <v>173</v>
      </c>
      <c r="E737" s="30"/>
      <c r="F737" s="45">
        <f t="shared" si="146"/>
        <v>1500</v>
      </c>
      <c r="G737" s="45">
        <f t="shared" si="146"/>
        <v>5500</v>
      </c>
      <c r="H737" s="45">
        <f t="shared" si="146"/>
        <v>6000</v>
      </c>
    </row>
    <row r="738" spans="1:8" s="14" customFormat="1" ht="15" x14ac:dyDescent="0.2">
      <c r="A738" s="35" t="s">
        <v>195</v>
      </c>
      <c r="B738" s="36" t="s">
        <v>563</v>
      </c>
      <c r="C738" s="36" t="s">
        <v>206</v>
      </c>
      <c r="D738" s="36" t="s">
        <v>173</v>
      </c>
      <c r="E738" s="36" t="s">
        <v>196</v>
      </c>
      <c r="F738" s="46">
        <f t="shared" si="146"/>
        <v>1500</v>
      </c>
      <c r="G738" s="46">
        <f t="shared" si="146"/>
        <v>5500</v>
      </c>
      <c r="H738" s="46">
        <f t="shared" si="146"/>
        <v>6000</v>
      </c>
    </row>
    <row r="739" spans="1:8" s="14" customFormat="1" ht="15" x14ac:dyDescent="0.2">
      <c r="A739" s="35" t="s">
        <v>197</v>
      </c>
      <c r="B739" s="36" t="s">
        <v>563</v>
      </c>
      <c r="C739" s="36" t="s">
        <v>206</v>
      </c>
      <c r="D739" s="36" t="s">
        <v>173</v>
      </c>
      <c r="E739" s="36" t="s">
        <v>198</v>
      </c>
      <c r="F739" s="98">
        <f>1000+500</f>
        <v>1500</v>
      </c>
      <c r="G739" s="98">
        <v>5500</v>
      </c>
      <c r="H739" s="98">
        <v>6000</v>
      </c>
    </row>
    <row r="740" spans="1:8" s="14" customFormat="1" ht="15" x14ac:dyDescent="0.2">
      <c r="A740" s="29" t="s">
        <v>565</v>
      </c>
      <c r="B740" s="30" t="s">
        <v>566</v>
      </c>
      <c r="C740" s="30"/>
      <c r="D740" s="30"/>
      <c r="E740" s="30"/>
      <c r="F740" s="45">
        <f t="shared" ref="F740:H743" si="147">F741</f>
        <v>0</v>
      </c>
      <c r="G740" s="45">
        <f t="shared" si="147"/>
        <v>45000</v>
      </c>
      <c r="H740" s="45">
        <f t="shared" si="147"/>
        <v>55000</v>
      </c>
    </row>
    <row r="741" spans="1:8" s="14" customFormat="1" ht="15" x14ac:dyDescent="0.2">
      <c r="A741" s="29" t="s">
        <v>367</v>
      </c>
      <c r="B741" s="30" t="s">
        <v>566</v>
      </c>
      <c r="C741" s="30" t="s">
        <v>206</v>
      </c>
      <c r="D741" s="30"/>
      <c r="E741" s="30"/>
      <c r="F741" s="45">
        <f t="shared" si="147"/>
        <v>0</v>
      </c>
      <c r="G741" s="45">
        <f t="shared" si="147"/>
        <v>45000</v>
      </c>
      <c r="H741" s="45">
        <f t="shared" si="147"/>
        <v>55000</v>
      </c>
    </row>
    <row r="742" spans="1:8" s="14" customFormat="1" ht="15" x14ac:dyDescent="0.2">
      <c r="A742" s="29" t="s">
        <v>564</v>
      </c>
      <c r="B742" s="30" t="s">
        <v>566</v>
      </c>
      <c r="C742" s="30" t="s">
        <v>206</v>
      </c>
      <c r="D742" s="30" t="s">
        <v>352</v>
      </c>
      <c r="E742" s="30"/>
      <c r="F742" s="45">
        <f t="shared" si="147"/>
        <v>0</v>
      </c>
      <c r="G742" s="45">
        <f t="shared" si="147"/>
        <v>45000</v>
      </c>
      <c r="H742" s="45">
        <f t="shared" si="147"/>
        <v>55000</v>
      </c>
    </row>
    <row r="743" spans="1:8" s="14" customFormat="1" ht="15.75" customHeight="1" x14ac:dyDescent="0.2">
      <c r="A743" s="35" t="s">
        <v>344</v>
      </c>
      <c r="B743" s="36" t="s">
        <v>566</v>
      </c>
      <c r="C743" s="36" t="s">
        <v>206</v>
      </c>
      <c r="D743" s="36" t="s">
        <v>352</v>
      </c>
      <c r="E743" s="36" t="s">
        <v>345</v>
      </c>
      <c r="F743" s="46">
        <f t="shared" si="147"/>
        <v>0</v>
      </c>
      <c r="G743" s="46">
        <f t="shared" si="147"/>
        <v>45000</v>
      </c>
      <c r="H743" s="46">
        <f t="shared" si="147"/>
        <v>55000</v>
      </c>
    </row>
    <row r="744" spans="1:8" s="14" customFormat="1" ht="15" x14ac:dyDescent="0.2">
      <c r="A744" s="35" t="s">
        <v>346</v>
      </c>
      <c r="B744" s="36" t="s">
        <v>566</v>
      </c>
      <c r="C744" s="36" t="s">
        <v>206</v>
      </c>
      <c r="D744" s="36" t="s">
        <v>352</v>
      </c>
      <c r="E744" s="36" t="s">
        <v>347</v>
      </c>
      <c r="F744" s="115">
        <v>0</v>
      </c>
      <c r="G744" s="115">
        <f>50000-5000</f>
        <v>45000</v>
      </c>
      <c r="H744" s="115">
        <v>55000</v>
      </c>
    </row>
    <row r="745" spans="1:8" s="14" customFormat="1" ht="15" x14ac:dyDescent="0.2">
      <c r="A745" s="148" t="s">
        <v>567</v>
      </c>
      <c r="B745" s="30" t="s">
        <v>568</v>
      </c>
      <c r="C745" s="30"/>
      <c r="D745" s="30"/>
      <c r="E745" s="30"/>
      <c r="F745" s="31">
        <f t="shared" ref="F745:H748" si="148">F746</f>
        <v>16500</v>
      </c>
      <c r="G745" s="31">
        <f t="shared" si="148"/>
        <v>25500</v>
      </c>
      <c r="H745" s="31">
        <f t="shared" si="148"/>
        <v>35125</v>
      </c>
    </row>
    <row r="746" spans="1:8" s="14" customFormat="1" ht="15" x14ac:dyDescent="0.2">
      <c r="A746" s="29" t="s">
        <v>367</v>
      </c>
      <c r="B746" s="30" t="s">
        <v>568</v>
      </c>
      <c r="C746" s="30" t="s">
        <v>206</v>
      </c>
      <c r="D746" s="30"/>
      <c r="E746" s="30"/>
      <c r="F746" s="31">
        <f t="shared" si="148"/>
        <v>16500</v>
      </c>
      <c r="G746" s="31">
        <f t="shared" si="148"/>
        <v>25500</v>
      </c>
      <c r="H746" s="31">
        <f t="shared" si="148"/>
        <v>35125</v>
      </c>
    </row>
    <row r="747" spans="1:8" s="14" customFormat="1" ht="15" x14ac:dyDescent="0.2">
      <c r="A747" s="29" t="s">
        <v>368</v>
      </c>
      <c r="B747" s="30" t="s">
        <v>568</v>
      </c>
      <c r="C747" s="30" t="s">
        <v>206</v>
      </c>
      <c r="D747" s="30" t="s">
        <v>283</v>
      </c>
      <c r="E747" s="30"/>
      <c r="F747" s="31">
        <f t="shared" si="148"/>
        <v>16500</v>
      </c>
      <c r="G747" s="31">
        <f t="shared" si="148"/>
        <v>25500</v>
      </c>
      <c r="H747" s="31">
        <f t="shared" si="148"/>
        <v>35125</v>
      </c>
    </row>
    <row r="748" spans="1:8" s="14" customFormat="1" ht="15.75" customHeight="1" x14ac:dyDescent="0.2">
      <c r="A748" s="35" t="s">
        <v>195</v>
      </c>
      <c r="B748" s="36" t="s">
        <v>568</v>
      </c>
      <c r="C748" s="36" t="s">
        <v>206</v>
      </c>
      <c r="D748" s="36" t="s">
        <v>283</v>
      </c>
      <c r="E748" s="36" t="s">
        <v>196</v>
      </c>
      <c r="F748" s="37">
        <f t="shared" si="148"/>
        <v>16500</v>
      </c>
      <c r="G748" s="37">
        <f t="shared" si="148"/>
        <v>25500</v>
      </c>
      <c r="H748" s="37">
        <f t="shared" si="148"/>
        <v>35125</v>
      </c>
    </row>
    <row r="749" spans="1:8" s="14" customFormat="1" ht="15" x14ac:dyDescent="0.2">
      <c r="A749" s="35" t="s">
        <v>197</v>
      </c>
      <c r="B749" s="36" t="s">
        <v>568</v>
      </c>
      <c r="C749" s="36" t="s">
        <v>206</v>
      </c>
      <c r="D749" s="36" t="s">
        <v>283</v>
      </c>
      <c r="E749" s="36" t="s">
        <v>198</v>
      </c>
      <c r="F749" s="98">
        <f>11500+5000</f>
        <v>16500</v>
      </c>
      <c r="G749" s="98">
        <f>52500-20000-2000-5000</f>
        <v>25500</v>
      </c>
      <c r="H749" s="98">
        <f>55125-20000</f>
        <v>35125</v>
      </c>
    </row>
    <row r="750" spans="1:8" s="14" customFormat="1" ht="15" x14ac:dyDescent="0.2">
      <c r="A750" s="148" t="s">
        <v>570</v>
      </c>
      <c r="B750" s="62" t="s">
        <v>571</v>
      </c>
      <c r="C750" s="30"/>
      <c r="D750" s="30"/>
      <c r="E750" s="30"/>
      <c r="F750" s="31">
        <f t="shared" ref="F750:H753" si="149">F751</f>
        <v>78800</v>
      </c>
      <c r="G750" s="31">
        <f t="shared" si="149"/>
        <v>60000</v>
      </c>
      <c r="H750" s="31">
        <f t="shared" si="149"/>
        <v>80750</v>
      </c>
    </row>
    <row r="751" spans="1:8" s="14" customFormat="1" ht="15" x14ac:dyDescent="0.2">
      <c r="A751" s="50" t="s">
        <v>374</v>
      </c>
      <c r="B751" s="62" t="s">
        <v>571</v>
      </c>
      <c r="C751" s="30" t="s">
        <v>375</v>
      </c>
      <c r="D751" s="30"/>
      <c r="E751" s="30"/>
      <c r="F751" s="31">
        <f t="shared" si="149"/>
        <v>78800</v>
      </c>
      <c r="G751" s="31">
        <f t="shared" si="149"/>
        <v>60000</v>
      </c>
      <c r="H751" s="31">
        <f t="shared" si="149"/>
        <v>80750</v>
      </c>
    </row>
    <row r="752" spans="1:8" s="14" customFormat="1" ht="15" x14ac:dyDescent="0.2">
      <c r="A752" s="50" t="s">
        <v>569</v>
      </c>
      <c r="B752" s="62" t="s">
        <v>571</v>
      </c>
      <c r="C752" s="30" t="s">
        <v>375</v>
      </c>
      <c r="D752" s="30" t="s">
        <v>412</v>
      </c>
      <c r="E752" s="30"/>
      <c r="F752" s="31">
        <f t="shared" si="149"/>
        <v>78800</v>
      </c>
      <c r="G752" s="31">
        <f t="shared" si="149"/>
        <v>60000</v>
      </c>
      <c r="H752" s="31">
        <f t="shared" si="149"/>
        <v>80750</v>
      </c>
    </row>
    <row r="753" spans="1:8" s="14" customFormat="1" ht="15" x14ac:dyDescent="0.2">
      <c r="A753" s="35" t="s">
        <v>195</v>
      </c>
      <c r="B753" s="63" t="s">
        <v>571</v>
      </c>
      <c r="C753" s="36" t="s">
        <v>375</v>
      </c>
      <c r="D753" s="36" t="s">
        <v>412</v>
      </c>
      <c r="E753" s="36" t="s">
        <v>196</v>
      </c>
      <c r="F753" s="37">
        <f t="shared" si="149"/>
        <v>78800</v>
      </c>
      <c r="G753" s="37">
        <f t="shared" si="149"/>
        <v>60000</v>
      </c>
      <c r="H753" s="37">
        <f t="shared" si="149"/>
        <v>80750</v>
      </c>
    </row>
    <row r="754" spans="1:8" s="143" customFormat="1" ht="14.25" x14ac:dyDescent="0.2">
      <c r="A754" s="35" t="s">
        <v>197</v>
      </c>
      <c r="B754" s="63" t="s">
        <v>571</v>
      </c>
      <c r="C754" s="36" t="s">
        <v>375</v>
      </c>
      <c r="D754" s="36" t="s">
        <v>412</v>
      </c>
      <c r="E754" s="36" t="s">
        <v>198</v>
      </c>
      <c r="F754" s="98">
        <f>49500+9000+10000+7500+2800</f>
        <v>78800</v>
      </c>
      <c r="G754" s="98">
        <f>315000-250000-5000</f>
        <v>60000</v>
      </c>
      <c r="H754" s="98">
        <f>350750-270000</f>
        <v>80750</v>
      </c>
    </row>
    <row r="755" spans="1:8" s="14" customFormat="1" ht="24" x14ac:dyDescent="0.2">
      <c r="A755" s="75" t="s">
        <v>572</v>
      </c>
      <c r="B755" s="62" t="s">
        <v>573</v>
      </c>
      <c r="C755" s="30"/>
      <c r="D755" s="30"/>
      <c r="E755" s="30"/>
      <c r="F755" s="45">
        <f t="shared" ref="F755:H758" si="150">F756</f>
        <v>0</v>
      </c>
      <c r="G755" s="45">
        <f t="shared" si="150"/>
        <v>18000</v>
      </c>
      <c r="H755" s="45">
        <f t="shared" si="150"/>
        <v>20000</v>
      </c>
    </row>
    <row r="756" spans="1:8" s="14" customFormat="1" ht="15" x14ac:dyDescent="0.2">
      <c r="A756" s="50" t="s">
        <v>374</v>
      </c>
      <c r="B756" s="62" t="s">
        <v>573</v>
      </c>
      <c r="C756" s="30" t="s">
        <v>375</v>
      </c>
      <c r="D756" s="30"/>
      <c r="E756" s="30"/>
      <c r="F756" s="45">
        <f t="shared" si="150"/>
        <v>0</v>
      </c>
      <c r="G756" s="45">
        <f t="shared" si="150"/>
        <v>18000</v>
      </c>
      <c r="H756" s="45">
        <f t="shared" si="150"/>
        <v>20000</v>
      </c>
    </row>
    <row r="757" spans="1:8" s="14" customFormat="1" ht="15" x14ac:dyDescent="0.2">
      <c r="A757" s="50" t="s">
        <v>569</v>
      </c>
      <c r="B757" s="62" t="s">
        <v>573</v>
      </c>
      <c r="C757" s="30" t="s">
        <v>375</v>
      </c>
      <c r="D757" s="30" t="s">
        <v>412</v>
      </c>
      <c r="E757" s="30"/>
      <c r="F757" s="45">
        <f t="shared" si="150"/>
        <v>0</v>
      </c>
      <c r="G757" s="45">
        <f t="shared" si="150"/>
        <v>18000</v>
      </c>
      <c r="H757" s="45">
        <f t="shared" si="150"/>
        <v>20000</v>
      </c>
    </row>
    <row r="758" spans="1:8" s="14" customFormat="1" ht="15" x14ac:dyDescent="0.2">
      <c r="A758" s="35" t="s">
        <v>344</v>
      </c>
      <c r="B758" s="36" t="s">
        <v>573</v>
      </c>
      <c r="C758" s="36" t="s">
        <v>375</v>
      </c>
      <c r="D758" s="36" t="s">
        <v>412</v>
      </c>
      <c r="E758" s="36" t="s">
        <v>345</v>
      </c>
      <c r="F758" s="46">
        <f t="shared" si="150"/>
        <v>0</v>
      </c>
      <c r="G758" s="46">
        <f t="shared" si="150"/>
        <v>18000</v>
      </c>
      <c r="H758" s="46">
        <f t="shared" si="150"/>
        <v>20000</v>
      </c>
    </row>
    <row r="759" spans="1:8" s="14" customFormat="1" ht="15" x14ac:dyDescent="0.2">
      <c r="A759" s="35" t="s">
        <v>346</v>
      </c>
      <c r="B759" s="36" t="s">
        <v>573</v>
      </c>
      <c r="C759" s="36" t="s">
        <v>375</v>
      </c>
      <c r="D759" s="36" t="s">
        <v>412</v>
      </c>
      <c r="E759" s="36" t="s">
        <v>347</v>
      </c>
      <c r="F759" s="115">
        <v>0</v>
      </c>
      <c r="G759" s="115">
        <f>50000-30000-2000</f>
        <v>18000</v>
      </c>
      <c r="H759" s="115">
        <f>50000-30000</f>
        <v>20000</v>
      </c>
    </row>
    <row r="760" spans="1:8" s="143" customFormat="1" ht="15" customHeight="1" x14ac:dyDescent="0.2">
      <c r="A760" s="75" t="s">
        <v>574</v>
      </c>
      <c r="B760" s="74" t="s">
        <v>575</v>
      </c>
      <c r="C760" s="74"/>
      <c r="D760" s="74"/>
      <c r="E760" s="74"/>
      <c r="F760" s="127">
        <f>F761</f>
        <v>0</v>
      </c>
      <c r="G760" s="127">
        <f t="shared" ref="G760:H763" si="151">G761</f>
        <v>8000</v>
      </c>
      <c r="H760" s="127">
        <f t="shared" si="151"/>
        <v>10000</v>
      </c>
    </row>
    <row r="761" spans="1:8" s="14" customFormat="1" ht="15" x14ac:dyDescent="0.2">
      <c r="A761" s="75" t="s">
        <v>446</v>
      </c>
      <c r="B761" s="74" t="s">
        <v>575</v>
      </c>
      <c r="C761" s="74" t="s">
        <v>404</v>
      </c>
      <c r="D761" s="74"/>
      <c r="E761" s="74"/>
      <c r="F761" s="127">
        <f>F762</f>
        <v>0</v>
      </c>
      <c r="G761" s="127">
        <f t="shared" si="151"/>
        <v>8000</v>
      </c>
      <c r="H761" s="127">
        <f t="shared" si="151"/>
        <v>10000</v>
      </c>
    </row>
    <row r="762" spans="1:8" s="14" customFormat="1" ht="15" x14ac:dyDescent="0.2">
      <c r="A762" s="75" t="s">
        <v>488</v>
      </c>
      <c r="B762" s="74" t="s">
        <v>575</v>
      </c>
      <c r="C762" s="74" t="s">
        <v>404</v>
      </c>
      <c r="D762" s="74" t="s">
        <v>177</v>
      </c>
      <c r="E762" s="74"/>
      <c r="F762" s="127">
        <f>F763</f>
        <v>0</v>
      </c>
      <c r="G762" s="127">
        <f t="shared" si="151"/>
        <v>8000</v>
      </c>
      <c r="H762" s="127">
        <f t="shared" si="151"/>
        <v>10000</v>
      </c>
    </row>
    <row r="763" spans="1:8" s="14" customFormat="1" ht="15" x14ac:dyDescent="0.2">
      <c r="A763" s="73" t="s">
        <v>195</v>
      </c>
      <c r="B763" s="12" t="s">
        <v>575</v>
      </c>
      <c r="C763" s="12" t="s">
        <v>404</v>
      </c>
      <c r="D763" s="12" t="s">
        <v>177</v>
      </c>
      <c r="E763" s="12" t="s">
        <v>196</v>
      </c>
      <c r="F763" s="115">
        <f>F764</f>
        <v>0</v>
      </c>
      <c r="G763" s="115">
        <f t="shared" si="151"/>
        <v>8000</v>
      </c>
      <c r="H763" s="115">
        <f t="shared" si="151"/>
        <v>10000</v>
      </c>
    </row>
    <row r="764" spans="1:8" s="14" customFormat="1" ht="15" x14ac:dyDescent="0.2">
      <c r="A764" s="73" t="s">
        <v>197</v>
      </c>
      <c r="B764" s="12" t="s">
        <v>575</v>
      </c>
      <c r="C764" s="12" t="s">
        <v>404</v>
      </c>
      <c r="D764" s="12" t="s">
        <v>177</v>
      </c>
      <c r="E764" s="12" t="s">
        <v>198</v>
      </c>
      <c r="F764" s="115">
        <v>0</v>
      </c>
      <c r="G764" s="115">
        <f>10000-2000</f>
        <v>8000</v>
      </c>
      <c r="H764" s="115">
        <v>10000</v>
      </c>
    </row>
    <row r="765" spans="1:8" s="14" customFormat="1" ht="15" customHeight="1" x14ac:dyDescent="0.2">
      <c r="A765" s="75" t="s">
        <v>574</v>
      </c>
      <c r="B765" s="74" t="s">
        <v>577</v>
      </c>
      <c r="C765" s="74"/>
      <c r="D765" s="74"/>
      <c r="E765" s="74"/>
      <c r="F765" s="127">
        <f>F766</f>
        <v>0</v>
      </c>
      <c r="G765" s="100">
        <f>G766</f>
        <v>8000</v>
      </c>
      <c r="H765" s="127">
        <f t="shared" ref="F765:H768" si="152">H766</f>
        <v>10000</v>
      </c>
    </row>
    <row r="766" spans="1:8" s="143" customFormat="1" ht="14.25" x14ac:dyDescent="0.2">
      <c r="A766" s="75" t="s">
        <v>446</v>
      </c>
      <c r="B766" s="74" t="s">
        <v>577</v>
      </c>
      <c r="C766" s="74" t="s">
        <v>404</v>
      </c>
      <c r="D766" s="74"/>
      <c r="E766" s="74"/>
      <c r="F766" s="127">
        <f t="shared" si="152"/>
        <v>0</v>
      </c>
      <c r="G766" s="100">
        <f t="shared" si="152"/>
        <v>8000</v>
      </c>
      <c r="H766" s="127">
        <f t="shared" si="152"/>
        <v>10000</v>
      </c>
    </row>
    <row r="767" spans="1:8" s="14" customFormat="1" ht="15" x14ac:dyDescent="0.2">
      <c r="A767" s="75" t="s">
        <v>488</v>
      </c>
      <c r="B767" s="74" t="s">
        <v>577</v>
      </c>
      <c r="C767" s="74" t="s">
        <v>404</v>
      </c>
      <c r="D767" s="74" t="s">
        <v>177</v>
      </c>
      <c r="E767" s="74"/>
      <c r="F767" s="127">
        <f t="shared" si="152"/>
        <v>0</v>
      </c>
      <c r="G767" s="100">
        <f t="shared" si="152"/>
        <v>8000</v>
      </c>
      <c r="H767" s="127">
        <f t="shared" si="152"/>
        <v>10000</v>
      </c>
    </row>
    <row r="768" spans="1:8" s="14" customFormat="1" ht="15" x14ac:dyDescent="0.2">
      <c r="A768" s="73" t="s">
        <v>195</v>
      </c>
      <c r="B768" s="12" t="s">
        <v>577</v>
      </c>
      <c r="C768" s="12" t="s">
        <v>404</v>
      </c>
      <c r="D768" s="12" t="s">
        <v>177</v>
      </c>
      <c r="E768" s="12" t="s">
        <v>196</v>
      </c>
      <c r="F768" s="115">
        <f t="shared" si="152"/>
        <v>0</v>
      </c>
      <c r="G768" s="98">
        <f t="shared" si="152"/>
        <v>8000</v>
      </c>
      <c r="H768" s="115">
        <f t="shared" si="152"/>
        <v>10000</v>
      </c>
    </row>
    <row r="769" spans="1:8" s="14" customFormat="1" ht="15" x14ac:dyDescent="0.2">
      <c r="A769" s="73" t="s">
        <v>197</v>
      </c>
      <c r="B769" s="12" t="s">
        <v>577</v>
      </c>
      <c r="C769" s="12" t="s">
        <v>404</v>
      </c>
      <c r="D769" s="12" t="s">
        <v>177</v>
      </c>
      <c r="E769" s="12" t="s">
        <v>198</v>
      </c>
      <c r="F769" s="115">
        <v>0</v>
      </c>
      <c r="G769" s="115">
        <f>10000-2000</f>
        <v>8000</v>
      </c>
      <c r="H769" s="115">
        <f>20000-10000</f>
        <v>10000</v>
      </c>
    </row>
    <row r="770" spans="1:8" s="14" customFormat="1" ht="24" x14ac:dyDescent="0.2">
      <c r="A770" s="75" t="s">
        <v>578</v>
      </c>
      <c r="B770" s="74" t="s">
        <v>579</v>
      </c>
      <c r="C770" s="74"/>
      <c r="D770" s="74"/>
      <c r="E770" s="74"/>
      <c r="F770" s="45">
        <f>F771</f>
        <v>0</v>
      </c>
      <c r="G770" s="45">
        <f t="shared" ref="G770:H773" si="153">G771</f>
        <v>2500</v>
      </c>
      <c r="H770" s="45">
        <f t="shared" si="153"/>
        <v>0</v>
      </c>
    </row>
    <row r="771" spans="1:8" s="14" customFormat="1" ht="15" x14ac:dyDescent="0.2">
      <c r="A771" s="75" t="s">
        <v>446</v>
      </c>
      <c r="B771" s="74" t="s">
        <v>579</v>
      </c>
      <c r="C771" s="74" t="s">
        <v>404</v>
      </c>
      <c r="D771" s="74"/>
      <c r="E771" s="74"/>
      <c r="F771" s="45">
        <f>F772</f>
        <v>0</v>
      </c>
      <c r="G771" s="45">
        <f t="shared" si="153"/>
        <v>2500</v>
      </c>
      <c r="H771" s="45">
        <f t="shared" si="153"/>
        <v>0</v>
      </c>
    </row>
    <row r="772" spans="1:8" s="14" customFormat="1" ht="15" x14ac:dyDescent="0.2">
      <c r="A772" s="75" t="s">
        <v>488</v>
      </c>
      <c r="B772" s="74" t="s">
        <v>579</v>
      </c>
      <c r="C772" s="74" t="s">
        <v>404</v>
      </c>
      <c r="D772" s="74" t="s">
        <v>177</v>
      </c>
      <c r="E772" s="74"/>
      <c r="F772" s="45">
        <f>F773</f>
        <v>0</v>
      </c>
      <c r="G772" s="45">
        <f t="shared" si="153"/>
        <v>2500</v>
      </c>
      <c r="H772" s="45">
        <f t="shared" si="153"/>
        <v>0</v>
      </c>
    </row>
    <row r="773" spans="1:8" s="14" customFormat="1" ht="15" x14ac:dyDescent="0.2">
      <c r="A773" s="35" t="s">
        <v>344</v>
      </c>
      <c r="B773" s="36" t="s">
        <v>579</v>
      </c>
      <c r="C773" s="12" t="s">
        <v>404</v>
      </c>
      <c r="D773" s="12" t="s">
        <v>177</v>
      </c>
      <c r="E773" s="36" t="s">
        <v>345</v>
      </c>
      <c r="F773" s="46">
        <f>F774</f>
        <v>0</v>
      </c>
      <c r="G773" s="46">
        <f t="shared" si="153"/>
        <v>2500</v>
      </c>
      <c r="H773" s="46">
        <f t="shared" si="153"/>
        <v>0</v>
      </c>
    </row>
    <row r="774" spans="1:8" s="14" customFormat="1" ht="15" x14ac:dyDescent="0.2">
      <c r="A774" s="35" t="s">
        <v>346</v>
      </c>
      <c r="B774" s="36" t="s">
        <v>579</v>
      </c>
      <c r="C774" s="12" t="s">
        <v>404</v>
      </c>
      <c r="D774" s="12" t="s">
        <v>177</v>
      </c>
      <c r="E774" s="36" t="s">
        <v>347</v>
      </c>
      <c r="F774" s="115">
        <v>0</v>
      </c>
      <c r="G774" s="115">
        <v>2500</v>
      </c>
      <c r="H774" s="115">
        <v>0</v>
      </c>
    </row>
    <row r="775" spans="1:8" s="14" customFormat="1" ht="27" x14ac:dyDescent="0.2">
      <c r="A775" s="80" t="s">
        <v>377</v>
      </c>
      <c r="B775" s="79" t="s">
        <v>378</v>
      </c>
      <c r="C775" s="79"/>
      <c r="D775" s="79"/>
      <c r="E775" s="106"/>
      <c r="F775" s="78">
        <f>F776+F782+F788+F795</f>
        <v>67642.872000000003</v>
      </c>
      <c r="G775" s="78">
        <f>G776+G782+G788+G795</f>
        <v>45153.700000000004</v>
      </c>
      <c r="H775" s="78">
        <f>H776+H782+H788+H795</f>
        <v>45153.700000000004</v>
      </c>
    </row>
    <row r="776" spans="1:8" s="14" customFormat="1" ht="15" x14ac:dyDescent="0.2">
      <c r="A776" s="50" t="s">
        <v>805</v>
      </c>
      <c r="B776" s="30" t="s">
        <v>380</v>
      </c>
      <c r="C776" s="30"/>
      <c r="D776" s="30"/>
      <c r="E776" s="30"/>
      <c r="F776" s="31">
        <f t="shared" ref="F776:H780" si="154">F777</f>
        <v>3295</v>
      </c>
      <c r="G776" s="31">
        <f t="shared" si="154"/>
        <v>2000</v>
      </c>
      <c r="H776" s="31">
        <f t="shared" si="154"/>
        <v>2000</v>
      </c>
    </row>
    <row r="777" spans="1:8" s="14" customFormat="1" ht="15" x14ac:dyDescent="0.2">
      <c r="A777" s="39" t="s">
        <v>381</v>
      </c>
      <c r="B777" s="74" t="s">
        <v>382</v>
      </c>
      <c r="C777" s="40"/>
      <c r="D777" s="40"/>
      <c r="E777" s="40"/>
      <c r="F777" s="41">
        <f t="shared" si="154"/>
        <v>3295</v>
      </c>
      <c r="G777" s="41">
        <f t="shared" si="154"/>
        <v>2000</v>
      </c>
      <c r="H777" s="41">
        <f t="shared" si="154"/>
        <v>2000</v>
      </c>
    </row>
    <row r="778" spans="1:8" s="14" customFormat="1" ht="15" x14ac:dyDescent="0.2">
      <c r="A778" s="39" t="s">
        <v>374</v>
      </c>
      <c r="B778" s="74" t="s">
        <v>382</v>
      </c>
      <c r="C778" s="30" t="s">
        <v>375</v>
      </c>
      <c r="D778" s="30"/>
      <c r="E778" s="40"/>
      <c r="F778" s="41">
        <f t="shared" si="154"/>
        <v>3295</v>
      </c>
      <c r="G778" s="41">
        <f t="shared" si="154"/>
        <v>2000</v>
      </c>
      <c r="H778" s="41">
        <f t="shared" si="154"/>
        <v>2000</v>
      </c>
    </row>
    <row r="779" spans="1:8" s="14" customFormat="1" ht="15" x14ac:dyDescent="0.2">
      <c r="A779" s="39" t="s">
        <v>376</v>
      </c>
      <c r="B779" s="74" t="s">
        <v>382</v>
      </c>
      <c r="C779" s="30" t="s">
        <v>375</v>
      </c>
      <c r="D779" s="30" t="s">
        <v>375</v>
      </c>
      <c r="E779" s="40"/>
      <c r="F779" s="41">
        <f t="shared" si="154"/>
        <v>3295</v>
      </c>
      <c r="G779" s="41">
        <f t="shared" si="154"/>
        <v>2000</v>
      </c>
      <c r="H779" s="41">
        <f t="shared" si="154"/>
        <v>2000</v>
      </c>
    </row>
    <row r="780" spans="1:8" s="14" customFormat="1" ht="15" x14ac:dyDescent="0.2">
      <c r="A780" s="35" t="s">
        <v>356</v>
      </c>
      <c r="B780" s="12" t="s">
        <v>382</v>
      </c>
      <c r="C780" s="36" t="s">
        <v>375</v>
      </c>
      <c r="D780" s="36" t="s">
        <v>375</v>
      </c>
      <c r="E780" s="36" t="s">
        <v>357</v>
      </c>
      <c r="F780" s="37">
        <f t="shared" si="154"/>
        <v>3295</v>
      </c>
      <c r="G780" s="37">
        <f t="shared" si="154"/>
        <v>2000</v>
      </c>
      <c r="H780" s="37">
        <f t="shared" si="154"/>
        <v>2000</v>
      </c>
    </row>
    <row r="781" spans="1:8" s="14" customFormat="1" ht="15" x14ac:dyDescent="0.2">
      <c r="A781" s="35" t="s">
        <v>383</v>
      </c>
      <c r="B781" s="12" t="s">
        <v>382</v>
      </c>
      <c r="C781" s="36" t="s">
        <v>375</v>
      </c>
      <c r="D781" s="36" t="s">
        <v>375</v>
      </c>
      <c r="E781" s="36" t="s">
        <v>384</v>
      </c>
      <c r="F781" s="98">
        <f>3000+295</f>
        <v>3295</v>
      </c>
      <c r="G781" s="98">
        <f>3000-1000</f>
        <v>2000</v>
      </c>
      <c r="H781" s="98">
        <f>3000-1000</f>
        <v>2000</v>
      </c>
    </row>
    <row r="782" spans="1:8" s="14" customFormat="1" ht="24" x14ac:dyDescent="0.2">
      <c r="A782" s="29" t="s">
        <v>387</v>
      </c>
      <c r="B782" s="30" t="s">
        <v>388</v>
      </c>
      <c r="C782" s="30"/>
      <c r="D782" s="30"/>
      <c r="E782" s="34"/>
      <c r="F782" s="31">
        <f t="shared" ref="F782:H786" si="155">F783</f>
        <v>5700</v>
      </c>
      <c r="G782" s="31">
        <f t="shared" si="155"/>
        <v>2000</v>
      </c>
      <c r="H782" s="31">
        <f t="shared" si="155"/>
        <v>2000</v>
      </c>
    </row>
    <row r="783" spans="1:8" s="14" customFormat="1" ht="24" x14ac:dyDescent="0.2">
      <c r="A783" s="39" t="s">
        <v>389</v>
      </c>
      <c r="B783" s="74" t="s">
        <v>390</v>
      </c>
      <c r="C783" s="40"/>
      <c r="D783" s="40"/>
      <c r="E783" s="40"/>
      <c r="F783" s="41">
        <f t="shared" si="155"/>
        <v>5700</v>
      </c>
      <c r="G783" s="41">
        <f t="shared" si="155"/>
        <v>2000</v>
      </c>
      <c r="H783" s="41">
        <f t="shared" si="155"/>
        <v>2000</v>
      </c>
    </row>
    <row r="784" spans="1:8" s="14" customFormat="1" ht="15" x14ac:dyDescent="0.2">
      <c r="A784" s="29" t="s">
        <v>385</v>
      </c>
      <c r="B784" s="74" t="s">
        <v>390</v>
      </c>
      <c r="C784" s="30" t="s">
        <v>210</v>
      </c>
      <c r="D784" s="30"/>
      <c r="E784" s="30"/>
      <c r="F784" s="31">
        <f t="shared" si="155"/>
        <v>5700</v>
      </c>
      <c r="G784" s="31">
        <f t="shared" si="155"/>
        <v>2000</v>
      </c>
      <c r="H784" s="31">
        <f t="shared" si="155"/>
        <v>2000</v>
      </c>
    </row>
    <row r="785" spans="1:8" s="14" customFormat="1" ht="15" x14ac:dyDescent="0.2">
      <c r="A785" s="29" t="s">
        <v>386</v>
      </c>
      <c r="B785" s="74" t="s">
        <v>390</v>
      </c>
      <c r="C785" s="30" t="s">
        <v>210</v>
      </c>
      <c r="D785" s="30" t="s">
        <v>173</v>
      </c>
      <c r="E785" s="30"/>
      <c r="F785" s="31">
        <f t="shared" si="155"/>
        <v>5700</v>
      </c>
      <c r="G785" s="31">
        <f t="shared" si="155"/>
        <v>2000</v>
      </c>
      <c r="H785" s="31">
        <f t="shared" si="155"/>
        <v>2000</v>
      </c>
    </row>
    <row r="786" spans="1:8" s="14" customFormat="1" ht="15" x14ac:dyDescent="0.2">
      <c r="A786" s="35" t="s">
        <v>356</v>
      </c>
      <c r="B786" s="12" t="s">
        <v>390</v>
      </c>
      <c r="C786" s="36" t="s">
        <v>210</v>
      </c>
      <c r="D786" s="36" t="s">
        <v>173</v>
      </c>
      <c r="E786" s="36" t="s">
        <v>357</v>
      </c>
      <c r="F786" s="37">
        <f t="shared" si="155"/>
        <v>5700</v>
      </c>
      <c r="G786" s="37">
        <f t="shared" si="155"/>
        <v>2000</v>
      </c>
      <c r="H786" s="37">
        <f t="shared" si="155"/>
        <v>2000</v>
      </c>
    </row>
    <row r="787" spans="1:8" s="14" customFormat="1" ht="15" x14ac:dyDescent="0.2">
      <c r="A787" s="35" t="s">
        <v>383</v>
      </c>
      <c r="B787" s="12" t="s">
        <v>390</v>
      </c>
      <c r="C787" s="36" t="s">
        <v>210</v>
      </c>
      <c r="D787" s="36" t="s">
        <v>173</v>
      </c>
      <c r="E787" s="36" t="s">
        <v>384</v>
      </c>
      <c r="F787" s="98">
        <f>4000+1500+200</f>
        <v>5700</v>
      </c>
      <c r="G787" s="98">
        <f>4000-2000</f>
        <v>2000</v>
      </c>
      <c r="H787" s="98">
        <f>4000-2000</f>
        <v>2000</v>
      </c>
    </row>
    <row r="788" spans="1:8" s="14" customFormat="1" ht="24" x14ac:dyDescent="0.2">
      <c r="A788" s="50" t="s">
        <v>391</v>
      </c>
      <c r="B788" s="30" t="s">
        <v>392</v>
      </c>
      <c r="C788" s="30"/>
      <c r="D788" s="30"/>
      <c r="E788" s="30"/>
      <c r="F788" s="45">
        <f t="shared" ref="F788:H793" si="156">F789</f>
        <v>51539.1</v>
      </c>
      <c r="G788" s="45">
        <f t="shared" si="156"/>
        <v>35681.4</v>
      </c>
      <c r="H788" s="45">
        <f t="shared" si="156"/>
        <v>35681.4</v>
      </c>
    </row>
    <row r="789" spans="1:8" s="14" customFormat="1" ht="15" x14ac:dyDescent="0.2">
      <c r="A789" s="50" t="s">
        <v>393</v>
      </c>
      <c r="B789" s="30" t="s">
        <v>394</v>
      </c>
      <c r="C789" s="30"/>
      <c r="D789" s="30"/>
      <c r="E789" s="30"/>
      <c r="F789" s="45">
        <f t="shared" si="156"/>
        <v>51539.1</v>
      </c>
      <c r="G789" s="45">
        <f t="shared" si="156"/>
        <v>35681.4</v>
      </c>
      <c r="H789" s="45">
        <f t="shared" si="156"/>
        <v>35681.4</v>
      </c>
    </row>
    <row r="790" spans="1:8" s="14" customFormat="1" ht="15" x14ac:dyDescent="0.2">
      <c r="A790" s="29" t="s">
        <v>385</v>
      </c>
      <c r="B790" s="30" t="s">
        <v>394</v>
      </c>
      <c r="C790" s="30" t="s">
        <v>210</v>
      </c>
      <c r="D790" s="30"/>
      <c r="E790" s="30"/>
      <c r="F790" s="45">
        <f t="shared" si="156"/>
        <v>51539.1</v>
      </c>
      <c r="G790" s="45">
        <f t="shared" si="156"/>
        <v>35681.4</v>
      </c>
      <c r="H790" s="45">
        <f t="shared" si="156"/>
        <v>35681.4</v>
      </c>
    </row>
    <row r="791" spans="1:8" s="14" customFormat="1" ht="15" x14ac:dyDescent="0.2">
      <c r="A791" s="29" t="s">
        <v>386</v>
      </c>
      <c r="B791" s="30" t="s">
        <v>394</v>
      </c>
      <c r="C791" s="30" t="s">
        <v>210</v>
      </c>
      <c r="D791" s="30" t="s">
        <v>173</v>
      </c>
      <c r="E791" s="30"/>
      <c r="F791" s="45">
        <f t="shared" si="156"/>
        <v>51539.1</v>
      </c>
      <c r="G791" s="45">
        <f t="shared" si="156"/>
        <v>35681.4</v>
      </c>
      <c r="H791" s="45">
        <f t="shared" si="156"/>
        <v>35681.4</v>
      </c>
    </row>
    <row r="792" spans="1:8" s="14" customFormat="1" ht="24" x14ac:dyDescent="0.2">
      <c r="A792" s="60" t="s">
        <v>395</v>
      </c>
      <c r="B792" s="49" t="s">
        <v>394</v>
      </c>
      <c r="C792" s="49" t="s">
        <v>210</v>
      </c>
      <c r="D792" s="49" t="s">
        <v>173</v>
      </c>
      <c r="E792" s="49"/>
      <c r="F792" s="69">
        <f t="shared" si="156"/>
        <v>51539.1</v>
      </c>
      <c r="G792" s="69">
        <f t="shared" si="156"/>
        <v>35681.4</v>
      </c>
      <c r="H792" s="69">
        <f t="shared" si="156"/>
        <v>35681.4</v>
      </c>
    </row>
    <row r="793" spans="1:8" s="14" customFormat="1" ht="15" x14ac:dyDescent="0.2">
      <c r="A793" s="35" t="s">
        <v>356</v>
      </c>
      <c r="B793" s="36" t="s">
        <v>394</v>
      </c>
      <c r="C793" s="36" t="s">
        <v>210</v>
      </c>
      <c r="D793" s="36" t="s">
        <v>173</v>
      </c>
      <c r="E793" s="36" t="s">
        <v>357</v>
      </c>
      <c r="F793" s="46">
        <f t="shared" si="156"/>
        <v>51539.1</v>
      </c>
      <c r="G793" s="46">
        <f t="shared" si="156"/>
        <v>35681.4</v>
      </c>
      <c r="H793" s="46">
        <f t="shared" si="156"/>
        <v>35681.4</v>
      </c>
    </row>
    <row r="794" spans="1:8" s="14" customFormat="1" ht="15" x14ac:dyDescent="0.2">
      <c r="A794" s="35" t="s">
        <v>383</v>
      </c>
      <c r="B794" s="36" t="s">
        <v>394</v>
      </c>
      <c r="C794" s="36" t="s">
        <v>210</v>
      </c>
      <c r="D794" s="36" t="s">
        <v>173</v>
      </c>
      <c r="E794" s="36" t="s">
        <v>384</v>
      </c>
      <c r="F794" s="98">
        <f>28781+6900.4+750+3300+157.7+1650+10000</f>
        <v>51539.1</v>
      </c>
      <c r="G794" s="98">
        <f t="shared" ref="G794:H794" si="157">28781+6900.4</f>
        <v>35681.4</v>
      </c>
      <c r="H794" s="98">
        <f t="shared" si="157"/>
        <v>35681.4</v>
      </c>
    </row>
    <row r="795" spans="1:8" s="14" customFormat="1" ht="15" x14ac:dyDescent="0.2">
      <c r="A795" s="29" t="s">
        <v>397</v>
      </c>
      <c r="B795" s="30" t="s">
        <v>398</v>
      </c>
      <c r="C795" s="30"/>
      <c r="D795" s="30"/>
      <c r="E795" s="30"/>
      <c r="F795" s="31">
        <f>F796+F802</f>
        <v>7108.7719999999999</v>
      </c>
      <c r="G795" s="31">
        <f>G796+G802</f>
        <v>5472.3</v>
      </c>
      <c r="H795" s="31">
        <f>H796+H802</f>
        <v>5472.3</v>
      </c>
    </row>
    <row r="796" spans="1:8" s="14" customFormat="1" ht="24" x14ac:dyDescent="0.2">
      <c r="A796" s="29" t="s">
        <v>175</v>
      </c>
      <c r="B796" s="30" t="s">
        <v>399</v>
      </c>
      <c r="C796" s="30"/>
      <c r="D796" s="30"/>
      <c r="E796" s="30"/>
      <c r="F796" s="31">
        <f t="shared" ref="F796:H800" si="158">F797</f>
        <v>6826.402</v>
      </c>
      <c r="G796" s="31">
        <f t="shared" si="158"/>
        <v>5228.1000000000004</v>
      </c>
      <c r="H796" s="31">
        <f t="shared" si="158"/>
        <v>5228.1000000000004</v>
      </c>
    </row>
    <row r="797" spans="1:8" s="14" customFormat="1" ht="15" x14ac:dyDescent="0.2">
      <c r="A797" s="29" t="s">
        <v>385</v>
      </c>
      <c r="B797" s="30" t="s">
        <v>399</v>
      </c>
      <c r="C797" s="30" t="s">
        <v>210</v>
      </c>
      <c r="D797" s="30"/>
      <c r="E797" s="30"/>
      <c r="F797" s="31">
        <f t="shared" si="158"/>
        <v>6826.402</v>
      </c>
      <c r="G797" s="31">
        <f t="shared" si="158"/>
        <v>5228.1000000000004</v>
      </c>
      <c r="H797" s="31">
        <f t="shared" si="158"/>
        <v>5228.1000000000004</v>
      </c>
    </row>
    <row r="798" spans="1:8" s="14" customFormat="1" ht="15" x14ac:dyDescent="0.2">
      <c r="A798" s="75" t="s">
        <v>806</v>
      </c>
      <c r="B798" s="74" t="s">
        <v>399</v>
      </c>
      <c r="C798" s="74" t="s">
        <v>210</v>
      </c>
      <c r="D798" s="74" t="s">
        <v>206</v>
      </c>
      <c r="E798" s="30"/>
      <c r="F798" s="31">
        <f t="shared" si="158"/>
        <v>6826.402</v>
      </c>
      <c r="G798" s="31">
        <f t="shared" si="158"/>
        <v>5228.1000000000004</v>
      </c>
      <c r="H798" s="31">
        <f t="shared" si="158"/>
        <v>5228.1000000000004</v>
      </c>
    </row>
    <row r="799" spans="1:8" s="14" customFormat="1" ht="15" x14ac:dyDescent="0.2">
      <c r="A799" s="129" t="s">
        <v>183</v>
      </c>
      <c r="B799" s="83" t="s">
        <v>399</v>
      </c>
      <c r="C799" s="83" t="s">
        <v>210</v>
      </c>
      <c r="D799" s="83" t="s">
        <v>206</v>
      </c>
      <c r="E799" s="40"/>
      <c r="F799" s="41">
        <f t="shared" si="158"/>
        <v>6826.402</v>
      </c>
      <c r="G799" s="41">
        <f t="shared" si="158"/>
        <v>5228.1000000000004</v>
      </c>
      <c r="H799" s="41">
        <f t="shared" si="158"/>
        <v>5228.1000000000004</v>
      </c>
    </row>
    <row r="800" spans="1:8" s="14" customFormat="1" ht="36" x14ac:dyDescent="0.2">
      <c r="A800" s="73" t="s">
        <v>185</v>
      </c>
      <c r="B800" s="12" t="s">
        <v>399</v>
      </c>
      <c r="C800" s="12" t="s">
        <v>210</v>
      </c>
      <c r="D800" s="12" t="s">
        <v>206</v>
      </c>
      <c r="E800" s="36" t="s">
        <v>186</v>
      </c>
      <c r="F800" s="37">
        <f t="shared" si="158"/>
        <v>6826.402</v>
      </c>
      <c r="G800" s="37">
        <f t="shared" si="158"/>
        <v>5228.1000000000004</v>
      </c>
      <c r="H800" s="37">
        <f t="shared" si="158"/>
        <v>5228.1000000000004</v>
      </c>
    </row>
    <row r="801" spans="1:8" s="14" customFormat="1" ht="15" x14ac:dyDescent="0.2">
      <c r="A801" s="73" t="s">
        <v>187</v>
      </c>
      <c r="B801" s="12" t="s">
        <v>399</v>
      </c>
      <c r="C801" s="12" t="s">
        <v>210</v>
      </c>
      <c r="D801" s="12" t="s">
        <v>206</v>
      </c>
      <c r="E801" s="36" t="s">
        <v>188</v>
      </c>
      <c r="F801" s="98">
        <f>3995.4+20+1212.7+1598.302</f>
        <v>6826.402</v>
      </c>
      <c r="G801" s="98">
        <f t="shared" ref="G801:H801" si="159">3995.4+20+1212.7</f>
        <v>5228.1000000000004</v>
      </c>
      <c r="H801" s="98">
        <f t="shared" si="159"/>
        <v>5228.1000000000004</v>
      </c>
    </row>
    <row r="802" spans="1:8" s="14" customFormat="1" ht="15" x14ac:dyDescent="0.2">
      <c r="A802" s="75" t="s">
        <v>193</v>
      </c>
      <c r="B802" s="74" t="s">
        <v>400</v>
      </c>
      <c r="C802" s="74"/>
      <c r="D802" s="74"/>
      <c r="E802" s="30"/>
      <c r="F802" s="31">
        <f t="shared" ref="F802:H803" si="160">F803</f>
        <v>282.37</v>
      </c>
      <c r="G802" s="31">
        <f t="shared" si="160"/>
        <v>244.2</v>
      </c>
      <c r="H802" s="31">
        <f t="shared" si="160"/>
        <v>244.2</v>
      </c>
    </row>
    <row r="803" spans="1:8" s="14" customFormat="1" ht="15" x14ac:dyDescent="0.2">
      <c r="A803" s="75" t="s">
        <v>385</v>
      </c>
      <c r="B803" s="74" t="s">
        <v>400</v>
      </c>
      <c r="C803" s="74" t="s">
        <v>210</v>
      </c>
      <c r="D803" s="74"/>
      <c r="E803" s="30"/>
      <c r="F803" s="31">
        <f t="shared" si="160"/>
        <v>282.37</v>
      </c>
      <c r="G803" s="31">
        <f t="shared" si="160"/>
        <v>244.2</v>
      </c>
      <c r="H803" s="31">
        <f t="shared" si="160"/>
        <v>244.2</v>
      </c>
    </row>
    <row r="804" spans="1:8" s="14" customFormat="1" ht="15" x14ac:dyDescent="0.2">
      <c r="A804" s="75" t="s">
        <v>806</v>
      </c>
      <c r="B804" s="74" t="s">
        <v>400</v>
      </c>
      <c r="C804" s="74" t="s">
        <v>210</v>
      </c>
      <c r="D804" s="74" t="s">
        <v>206</v>
      </c>
      <c r="E804" s="30"/>
      <c r="F804" s="31">
        <f>F805+F807</f>
        <v>282.37</v>
      </c>
      <c r="G804" s="31">
        <f>G805+G807</f>
        <v>244.2</v>
      </c>
      <c r="H804" s="31">
        <f>H805+H807</f>
        <v>244.2</v>
      </c>
    </row>
    <row r="805" spans="1:8" s="14" customFormat="1" ht="15" x14ac:dyDescent="0.2">
      <c r="A805" s="35" t="s">
        <v>195</v>
      </c>
      <c r="B805" s="36" t="s">
        <v>400</v>
      </c>
      <c r="C805" s="36" t="s">
        <v>210</v>
      </c>
      <c r="D805" s="36" t="s">
        <v>206</v>
      </c>
      <c r="E805" s="36" t="s">
        <v>196</v>
      </c>
      <c r="F805" s="37">
        <f>F806</f>
        <v>272.37</v>
      </c>
      <c r="G805" s="37">
        <f>G806</f>
        <v>234.2</v>
      </c>
      <c r="H805" s="37">
        <f>H806</f>
        <v>234.2</v>
      </c>
    </row>
    <row r="806" spans="1:8" s="14" customFormat="1" ht="15.75" customHeight="1" x14ac:dyDescent="0.2">
      <c r="A806" s="35" t="s">
        <v>197</v>
      </c>
      <c r="B806" s="36" t="s">
        <v>400</v>
      </c>
      <c r="C806" s="36" t="s">
        <v>210</v>
      </c>
      <c r="D806" s="36" t="s">
        <v>206</v>
      </c>
      <c r="E806" s="36" t="s">
        <v>198</v>
      </c>
      <c r="F806" s="98">
        <f>234.2+38.17</f>
        <v>272.37</v>
      </c>
      <c r="G806" s="98">
        <v>234.2</v>
      </c>
      <c r="H806" s="98">
        <v>234.2</v>
      </c>
    </row>
    <row r="807" spans="1:8" s="14" customFormat="1" ht="15" x14ac:dyDescent="0.2">
      <c r="A807" s="35" t="s">
        <v>199</v>
      </c>
      <c r="B807" s="36" t="s">
        <v>400</v>
      </c>
      <c r="C807" s="36" t="s">
        <v>210</v>
      </c>
      <c r="D807" s="36" t="s">
        <v>206</v>
      </c>
      <c r="E807" s="36" t="s">
        <v>200</v>
      </c>
      <c r="F807" s="98">
        <f>F808</f>
        <v>10</v>
      </c>
      <c r="G807" s="98">
        <f>G808</f>
        <v>10</v>
      </c>
      <c r="H807" s="98">
        <f>H808</f>
        <v>10</v>
      </c>
    </row>
    <row r="808" spans="1:8" s="14" customFormat="1" ht="15" x14ac:dyDescent="0.2">
      <c r="A808" s="35" t="s">
        <v>201</v>
      </c>
      <c r="B808" s="36" t="s">
        <v>400</v>
      </c>
      <c r="C808" s="36" t="s">
        <v>210</v>
      </c>
      <c r="D808" s="36" t="s">
        <v>206</v>
      </c>
      <c r="E808" s="36" t="s">
        <v>202</v>
      </c>
      <c r="F808" s="98">
        <v>10</v>
      </c>
      <c r="G808" s="98">
        <v>10</v>
      </c>
      <c r="H808" s="98">
        <v>10</v>
      </c>
    </row>
    <row r="809" spans="1:8" s="14" customFormat="1" ht="27" x14ac:dyDescent="0.2">
      <c r="A809" s="85" t="s">
        <v>249</v>
      </c>
      <c r="B809" s="79" t="s">
        <v>250</v>
      </c>
      <c r="C809" s="79"/>
      <c r="D809" s="79"/>
      <c r="E809" s="79"/>
      <c r="F809" s="78">
        <f>F810+F816+F822</f>
        <v>1200</v>
      </c>
      <c r="G809" s="78">
        <f>G810+G816+G822</f>
        <v>1200</v>
      </c>
      <c r="H809" s="78">
        <f>H810+H816+H822</f>
        <v>1200</v>
      </c>
    </row>
    <row r="810" spans="1:8" s="14" customFormat="1" ht="24" x14ac:dyDescent="0.2">
      <c r="A810" s="129" t="s">
        <v>251</v>
      </c>
      <c r="B810" s="40" t="s">
        <v>252</v>
      </c>
      <c r="C810" s="40"/>
      <c r="D810" s="40"/>
      <c r="E810" s="40"/>
      <c r="F810" s="41">
        <f t="shared" ref="F810:H825" si="161">F811</f>
        <v>800</v>
      </c>
      <c r="G810" s="47">
        <f t="shared" si="161"/>
        <v>800</v>
      </c>
      <c r="H810" s="47">
        <f t="shared" si="161"/>
        <v>800</v>
      </c>
    </row>
    <row r="811" spans="1:8" s="14" customFormat="1" ht="15" x14ac:dyDescent="0.2">
      <c r="A811" s="57" t="s">
        <v>253</v>
      </c>
      <c r="B811" s="30" t="s">
        <v>254</v>
      </c>
      <c r="C811" s="30"/>
      <c r="D811" s="30"/>
      <c r="E811" s="30"/>
      <c r="F811" s="31">
        <f t="shared" si="161"/>
        <v>800</v>
      </c>
      <c r="G811" s="45">
        <f t="shared" si="161"/>
        <v>800</v>
      </c>
      <c r="H811" s="45">
        <f t="shared" si="161"/>
        <v>800</v>
      </c>
    </row>
    <row r="812" spans="1:8" s="14" customFormat="1" ht="15" x14ac:dyDescent="0.2">
      <c r="A812" s="57" t="s">
        <v>172</v>
      </c>
      <c r="B812" s="30" t="s">
        <v>254</v>
      </c>
      <c r="C812" s="30" t="s">
        <v>173</v>
      </c>
      <c r="D812" s="30"/>
      <c r="E812" s="30"/>
      <c r="F812" s="31">
        <f t="shared" si="161"/>
        <v>800</v>
      </c>
      <c r="G812" s="45">
        <f t="shared" si="161"/>
        <v>800</v>
      </c>
      <c r="H812" s="45">
        <f t="shared" si="161"/>
        <v>800</v>
      </c>
    </row>
    <row r="813" spans="1:8" s="14" customFormat="1" ht="15" x14ac:dyDescent="0.2">
      <c r="A813" s="57" t="s">
        <v>215</v>
      </c>
      <c r="B813" s="30" t="s">
        <v>254</v>
      </c>
      <c r="C813" s="30" t="s">
        <v>173</v>
      </c>
      <c r="D813" s="30" t="s">
        <v>216</v>
      </c>
      <c r="E813" s="40"/>
      <c r="F813" s="31">
        <f t="shared" si="161"/>
        <v>800</v>
      </c>
      <c r="G813" s="45">
        <f t="shared" si="161"/>
        <v>800</v>
      </c>
      <c r="H813" s="45">
        <f t="shared" si="161"/>
        <v>800</v>
      </c>
    </row>
    <row r="814" spans="1:8" s="14" customFormat="1" ht="15" x14ac:dyDescent="0.2">
      <c r="A814" s="35" t="s">
        <v>195</v>
      </c>
      <c r="B814" s="36" t="s">
        <v>254</v>
      </c>
      <c r="C814" s="36" t="s">
        <v>173</v>
      </c>
      <c r="D814" s="36" t="s">
        <v>216</v>
      </c>
      <c r="E814" s="36" t="s">
        <v>196</v>
      </c>
      <c r="F814" s="37">
        <f t="shared" si="161"/>
        <v>800</v>
      </c>
      <c r="G814" s="46">
        <f t="shared" si="161"/>
        <v>800</v>
      </c>
      <c r="H814" s="46">
        <f t="shared" si="161"/>
        <v>800</v>
      </c>
    </row>
    <row r="815" spans="1:8" s="14" customFormat="1" ht="15" x14ac:dyDescent="0.2">
      <c r="A815" s="35" t="s">
        <v>197</v>
      </c>
      <c r="B815" s="36" t="s">
        <v>254</v>
      </c>
      <c r="C815" s="36" t="s">
        <v>173</v>
      </c>
      <c r="D815" s="36" t="s">
        <v>216</v>
      </c>
      <c r="E815" s="36" t="s">
        <v>198</v>
      </c>
      <c r="F815" s="98">
        <v>800</v>
      </c>
      <c r="G815" s="98">
        <v>800</v>
      </c>
      <c r="H815" s="98">
        <v>800</v>
      </c>
    </row>
    <row r="816" spans="1:8" s="14" customFormat="1" ht="24" x14ac:dyDescent="0.2">
      <c r="A816" s="129" t="s">
        <v>807</v>
      </c>
      <c r="B816" s="40" t="s">
        <v>256</v>
      </c>
      <c r="C816" s="40"/>
      <c r="D816" s="40"/>
      <c r="E816" s="40"/>
      <c r="F816" s="41">
        <f t="shared" si="161"/>
        <v>250</v>
      </c>
      <c r="G816" s="47">
        <f t="shared" si="161"/>
        <v>250</v>
      </c>
      <c r="H816" s="47">
        <f t="shared" si="161"/>
        <v>250</v>
      </c>
    </row>
    <row r="817" spans="1:8" s="14" customFormat="1" ht="24" x14ac:dyDescent="0.2">
      <c r="A817" s="57" t="s">
        <v>257</v>
      </c>
      <c r="B817" s="30" t="s">
        <v>258</v>
      </c>
      <c r="C817" s="30"/>
      <c r="D817" s="30"/>
      <c r="E817" s="30"/>
      <c r="F817" s="31">
        <f t="shared" si="161"/>
        <v>250</v>
      </c>
      <c r="G817" s="45">
        <f t="shared" si="161"/>
        <v>250</v>
      </c>
      <c r="H817" s="45">
        <f t="shared" si="161"/>
        <v>250</v>
      </c>
    </row>
    <row r="818" spans="1:8" s="14" customFormat="1" ht="15" x14ac:dyDescent="0.2">
      <c r="A818" s="57" t="s">
        <v>172</v>
      </c>
      <c r="B818" s="30" t="s">
        <v>258</v>
      </c>
      <c r="C818" s="30" t="s">
        <v>173</v>
      </c>
      <c r="D818" s="30"/>
      <c r="E818" s="30"/>
      <c r="F818" s="31">
        <f t="shared" si="161"/>
        <v>250</v>
      </c>
      <c r="G818" s="45">
        <f t="shared" si="161"/>
        <v>250</v>
      </c>
      <c r="H818" s="45">
        <f t="shared" si="161"/>
        <v>250</v>
      </c>
    </row>
    <row r="819" spans="1:8" s="14" customFormat="1" ht="15" x14ac:dyDescent="0.2">
      <c r="A819" s="57" t="s">
        <v>215</v>
      </c>
      <c r="B819" s="30" t="s">
        <v>258</v>
      </c>
      <c r="C819" s="30" t="s">
        <v>173</v>
      </c>
      <c r="D819" s="30" t="s">
        <v>216</v>
      </c>
      <c r="E819" s="40"/>
      <c r="F819" s="31">
        <f t="shared" si="161"/>
        <v>250</v>
      </c>
      <c r="G819" s="45">
        <f t="shared" si="161"/>
        <v>250</v>
      </c>
      <c r="H819" s="45">
        <f t="shared" si="161"/>
        <v>250</v>
      </c>
    </row>
    <row r="820" spans="1:8" s="14" customFormat="1" ht="15" x14ac:dyDescent="0.2">
      <c r="A820" s="35" t="s">
        <v>195</v>
      </c>
      <c r="B820" s="36" t="s">
        <v>258</v>
      </c>
      <c r="C820" s="36" t="s">
        <v>173</v>
      </c>
      <c r="D820" s="36" t="s">
        <v>216</v>
      </c>
      <c r="E820" s="36" t="s">
        <v>196</v>
      </c>
      <c r="F820" s="37">
        <f t="shared" si="161"/>
        <v>250</v>
      </c>
      <c r="G820" s="46">
        <f t="shared" si="161"/>
        <v>250</v>
      </c>
      <c r="H820" s="46">
        <f t="shared" si="161"/>
        <v>250</v>
      </c>
    </row>
    <row r="821" spans="1:8" s="14" customFormat="1" ht="15" x14ac:dyDescent="0.2">
      <c r="A821" s="35" t="s">
        <v>197</v>
      </c>
      <c r="B821" s="36" t="s">
        <v>258</v>
      </c>
      <c r="C821" s="36" t="s">
        <v>173</v>
      </c>
      <c r="D821" s="36" t="s">
        <v>216</v>
      </c>
      <c r="E821" s="36" t="s">
        <v>198</v>
      </c>
      <c r="F821" s="98">
        <v>250</v>
      </c>
      <c r="G821" s="98">
        <v>250</v>
      </c>
      <c r="H821" s="98">
        <v>250</v>
      </c>
    </row>
    <row r="822" spans="1:8" s="14" customFormat="1" ht="24" x14ac:dyDescent="0.2">
      <c r="A822" s="129" t="s">
        <v>259</v>
      </c>
      <c r="B822" s="40" t="s">
        <v>260</v>
      </c>
      <c r="C822" s="40"/>
      <c r="D822" s="40"/>
      <c r="E822" s="40"/>
      <c r="F822" s="41">
        <f t="shared" si="161"/>
        <v>150</v>
      </c>
      <c r="G822" s="47">
        <f t="shared" si="161"/>
        <v>150</v>
      </c>
      <c r="H822" s="47">
        <f t="shared" si="161"/>
        <v>150</v>
      </c>
    </row>
    <row r="823" spans="1:8" s="14" customFormat="1" ht="53.25" customHeight="1" x14ac:dyDescent="0.2">
      <c r="A823" s="57" t="s">
        <v>261</v>
      </c>
      <c r="B823" s="30" t="s">
        <v>262</v>
      </c>
      <c r="C823" s="30"/>
      <c r="D823" s="30"/>
      <c r="E823" s="30"/>
      <c r="F823" s="31">
        <f t="shared" si="161"/>
        <v>150</v>
      </c>
      <c r="G823" s="45">
        <f t="shared" si="161"/>
        <v>150</v>
      </c>
      <c r="H823" s="45">
        <f t="shared" si="161"/>
        <v>150</v>
      </c>
    </row>
    <row r="824" spans="1:8" s="14" customFormat="1" ht="15" x14ac:dyDescent="0.2">
      <c r="A824" s="57" t="s">
        <v>172</v>
      </c>
      <c r="B824" s="30" t="s">
        <v>262</v>
      </c>
      <c r="C824" s="30" t="s">
        <v>173</v>
      </c>
      <c r="D824" s="30"/>
      <c r="E824" s="30"/>
      <c r="F824" s="31">
        <f t="shared" si="161"/>
        <v>150</v>
      </c>
      <c r="G824" s="45">
        <f t="shared" si="161"/>
        <v>150</v>
      </c>
      <c r="H824" s="45">
        <f t="shared" si="161"/>
        <v>150</v>
      </c>
    </row>
    <row r="825" spans="1:8" s="14" customFormat="1" ht="15" x14ac:dyDescent="0.2">
      <c r="A825" s="57" t="s">
        <v>215</v>
      </c>
      <c r="B825" s="30" t="s">
        <v>262</v>
      </c>
      <c r="C825" s="30" t="s">
        <v>173</v>
      </c>
      <c r="D825" s="30" t="s">
        <v>216</v>
      </c>
      <c r="E825" s="30"/>
      <c r="F825" s="31">
        <f t="shared" si="161"/>
        <v>150</v>
      </c>
      <c r="G825" s="45">
        <f t="shared" si="161"/>
        <v>150</v>
      </c>
      <c r="H825" s="45">
        <f t="shared" si="161"/>
        <v>150</v>
      </c>
    </row>
    <row r="826" spans="1:8" s="14" customFormat="1" ht="15" x14ac:dyDescent="0.2">
      <c r="A826" s="35" t="s">
        <v>195</v>
      </c>
      <c r="B826" s="36" t="s">
        <v>262</v>
      </c>
      <c r="C826" s="36" t="s">
        <v>173</v>
      </c>
      <c r="D826" s="36" t="s">
        <v>216</v>
      </c>
      <c r="E826" s="36" t="s">
        <v>196</v>
      </c>
      <c r="F826" s="37">
        <f t="shared" ref="F826:H826" si="162">F827</f>
        <v>150</v>
      </c>
      <c r="G826" s="46">
        <f t="shared" si="162"/>
        <v>150</v>
      </c>
      <c r="H826" s="46">
        <f t="shared" si="162"/>
        <v>150</v>
      </c>
    </row>
    <row r="827" spans="1:8" s="14" customFormat="1" ht="15" x14ac:dyDescent="0.2">
      <c r="A827" s="35" t="s">
        <v>197</v>
      </c>
      <c r="B827" s="36" t="s">
        <v>262</v>
      </c>
      <c r="C827" s="36" t="s">
        <v>173</v>
      </c>
      <c r="D827" s="36" t="s">
        <v>216</v>
      </c>
      <c r="E827" s="36" t="s">
        <v>198</v>
      </c>
      <c r="F827" s="98">
        <v>150</v>
      </c>
      <c r="G827" s="98">
        <v>150</v>
      </c>
      <c r="H827" s="98">
        <v>150</v>
      </c>
    </row>
    <row r="828" spans="1:8" s="14" customFormat="1" ht="27" x14ac:dyDescent="0.2">
      <c r="A828" s="80" t="s">
        <v>533</v>
      </c>
      <c r="B828" s="199" t="s">
        <v>534</v>
      </c>
      <c r="C828" s="79"/>
      <c r="D828" s="79"/>
      <c r="E828" s="79"/>
      <c r="F828" s="86">
        <f>F829+F834</f>
        <v>96853.434399999998</v>
      </c>
      <c r="G828" s="86">
        <f>G829+G834</f>
        <v>10000</v>
      </c>
      <c r="H828" s="86">
        <f>H829+H834</f>
        <v>0</v>
      </c>
    </row>
    <row r="829" spans="1:8" s="14" customFormat="1" ht="15" x14ac:dyDescent="0.2">
      <c r="A829" s="29" t="s">
        <v>535</v>
      </c>
      <c r="B829" s="51" t="s">
        <v>536</v>
      </c>
      <c r="C829" s="30"/>
      <c r="D829" s="30"/>
      <c r="E829" s="30"/>
      <c r="F829" s="45">
        <f t="shared" ref="F829:H832" si="163">F830</f>
        <v>86853.434399999998</v>
      </c>
      <c r="G829" s="45">
        <f t="shared" si="163"/>
        <v>0</v>
      </c>
      <c r="H829" s="45">
        <f t="shared" si="163"/>
        <v>0</v>
      </c>
    </row>
    <row r="830" spans="1:8" s="14" customFormat="1" ht="15" x14ac:dyDescent="0.2">
      <c r="A830" s="29" t="s">
        <v>367</v>
      </c>
      <c r="B830" s="51" t="s">
        <v>536</v>
      </c>
      <c r="C830" s="30" t="s">
        <v>206</v>
      </c>
      <c r="D830" s="30"/>
      <c r="E830" s="30"/>
      <c r="F830" s="45">
        <f t="shared" si="163"/>
        <v>86853.434399999998</v>
      </c>
      <c r="G830" s="45">
        <f t="shared" si="163"/>
        <v>0</v>
      </c>
      <c r="H830" s="45">
        <f t="shared" si="163"/>
        <v>0</v>
      </c>
    </row>
    <row r="831" spans="1:8" s="14" customFormat="1" ht="15" x14ac:dyDescent="0.2">
      <c r="A831" s="29" t="s">
        <v>368</v>
      </c>
      <c r="B831" s="51" t="s">
        <v>536</v>
      </c>
      <c r="C831" s="30" t="s">
        <v>206</v>
      </c>
      <c r="D831" s="30" t="s">
        <v>283</v>
      </c>
      <c r="E831" s="30"/>
      <c r="F831" s="45">
        <f t="shared" si="163"/>
        <v>86853.434399999998</v>
      </c>
      <c r="G831" s="45">
        <f t="shared" si="163"/>
        <v>0</v>
      </c>
      <c r="H831" s="45">
        <f t="shared" si="163"/>
        <v>0</v>
      </c>
    </row>
    <row r="832" spans="1:8" s="14" customFormat="1" ht="15" x14ac:dyDescent="0.2">
      <c r="A832" s="35" t="s">
        <v>195</v>
      </c>
      <c r="B832" s="44" t="s">
        <v>536</v>
      </c>
      <c r="C832" s="36" t="s">
        <v>206</v>
      </c>
      <c r="D832" s="36" t="s">
        <v>283</v>
      </c>
      <c r="E832" s="36" t="s">
        <v>196</v>
      </c>
      <c r="F832" s="46">
        <f t="shared" si="163"/>
        <v>86853.434399999998</v>
      </c>
      <c r="G832" s="46">
        <f t="shared" si="163"/>
        <v>0</v>
      </c>
      <c r="H832" s="46">
        <f t="shared" si="163"/>
        <v>0</v>
      </c>
    </row>
    <row r="833" spans="1:8" s="14" customFormat="1" ht="15" x14ac:dyDescent="0.2">
      <c r="A833" s="35" t="s">
        <v>197</v>
      </c>
      <c r="B833" s="44" t="s">
        <v>536</v>
      </c>
      <c r="C833" s="36" t="s">
        <v>206</v>
      </c>
      <c r="D833" s="36" t="s">
        <v>283</v>
      </c>
      <c r="E833" s="36" t="s">
        <v>198</v>
      </c>
      <c r="F833" s="46">
        <v>86853.434399999998</v>
      </c>
      <c r="G833" s="46">
        <v>0</v>
      </c>
      <c r="H833" s="46">
        <v>0</v>
      </c>
    </row>
    <row r="834" spans="1:8" s="14" customFormat="1" ht="15" x14ac:dyDescent="0.2">
      <c r="A834" s="29" t="s">
        <v>537</v>
      </c>
      <c r="B834" s="51" t="s">
        <v>538</v>
      </c>
      <c r="C834" s="30"/>
      <c r="D834" s="30"/>
      <c r="E834" s="30"/>
      <c r="F834" s="45">
        <f t="shared" ref="F834:H837" si="164">F835</f>
        <v>10000</v>
      </c>
      <c r="G834" s="45">
        <f t="shared" si="164"/>
        <v>10000</v>
      </c>
      <c r="H834" s="45">
        <f t="shared" si="164"/>
        <v>0</v>
      </c>
    </row>
    <row r="835" spans="1:8" s="14" customFormat="1" ht="15" x14ac:dyDescent="0.2">
      <c r="A835" s="29" t="s">
        <v>367</v>
      </c>
      <c r="B835" s="51" t="s">
        <v>538</v>
      </c>
      <c r="C835" s="30" t="s">
        <v>206</v>
      </c>
      <c r="D835" s="30"/>
      <c r="E835" s="30"/>
      <c r="F835" s="45">
        <f t="shared" si="164"/>
        <v>10000</v>
      </c>
      <c r="G835" s="45">
        <f t="shared" si="164"/>
        <v>10000</v>
      </c>
      <c r="H835" s="45">
        <f t="shared" si="164"/>
        <v>0</v>
      </c>
    </row>
    <row r="836" spans="1:8" s="14" customFormat="1" ht="15" x14ac:dyDescent="0.2">
      <c r="A836" s="29" t="s">
        <v>368</v>
      </c>
      <c r="B836" s="51" t="s">
        <v>538</v>
      </c>
      <c r="C836" s="30" t="s">
        <v>206</v>
      </c>
      <c r="D836" s="30" t="s">
        <v>283</v>
      </c>
      <c r="E836" s="30"/>
      <c r="F836" s="45">
        <f t="shared" si="164"/>
        <v>10000</v>
      </c>
      <c r="G836" s="45">
        <f t="shared" si="164"/>
        <v>10000</v>
      </c>
      <c r="H836" s="45">
        <f t="shared" si="164"/>
        <v>0</v>
      </c>
    </row>
    <row r="837" spans="1:8" s="14" customFormat="1" ht="15" x14ac:dyDescent="0.2">
      <c r="A837" s="35" t="s">
        <v>195</v>
      </c>
      <c r="B837" s="44" t="s">
        <v>538</v>
      </c>
      <c r="C837" s="36" t="s">
        <v>206</v>
      </c>
      <c r="D837" s="36" t="s">
        <v>283</v>
      </c>
      <c r="E837" s="36" t="s">
        <v>196</v>
      </c>
      <c r="F837" s="46">
        <f t="shared" si="164"/>
        <v>10000</v>
      </c>
      <c r="G837" s="46">
        <f t="shared" si="164"/>
        <v>10000</v>
      </c>
      <c r="H837" s="46">
        <f t="shared" si="164"/>
        <v>0</v>
      </c>
    </row>
    <row r="838" spans="1:8" s="14" customFormat="1" ht="15" x14ac:dyDescent="0.2">
      <c r="A838" s="35" t="s">
        <v>197</v>
      </c>
      <c r="B838" s="44" t="s">
        <v>538</v>
      </c>
      <c r="C838" s="36" t="s">
        <v>206</v>
      </c>
      <c r="D838" s="36" t="s">
        <v>283</v>
      </c>
      <c r="E838" s="36" t="s">
        <v>198</v>
      </c>
      <c r="F838" s="98">
        <v>10000</v>
      </c>
      <c r="G838" s="98">
        <v>10000</v>
      </c>
      <c r="H838" s="115">
        <v>0</v>
      </c>
    </row>
    <row r="839" spans="1:8" s="14" customFormat="1" ht="27" x14ac:dyDescent="0.2">
      <c r="A839" s="80" t="s">
        <v>617</v>
      </c>
      <c r="B839" s="199" t="s">
        <v>618</v>
      </c>
      <c r="C839" s="79"/>
      <c r="D839" s="79"/>
      <c r="E839" s="79"/>
      <c r="F839" s="86">
        <f>F840+F845</f>
        <v>418985.3</v>
      </c>
      <c r="G839" s="86">
        <f>G840+G845</f>
        <v>0</v>
      </c>
      <c r="H839" s="86">
        <f>H840+H845</f>
        <v>0</v>
      </c>
    </row>
    <row r="840" spans="1:8" s="14" customFormat="1" ht="24" x14ac:dyDescent="0.2">
      <c r="A840" s="29" t="s">
        <v>619</v>
      </c>
      <c r="B840" s="30" t="s">
        <v>620</v>
      </c>
      <c r="C840" s="30"/>
      <c r="D840" s="30"/>
      <c r="E840" s="30"/>
      <c r="F840" s="31">
        <f t="shared" ref="F840:G843" si="165">F841</f>
        <v>323885.3</v>
      </c>
      <c r="G840" s="45">
        <f t="shared" si="165"/>
        <v>0</v>
      </c>
      <c r="H840" s="45">
        <f>H841</f>
        <v>0</v>
      </c>
    </row>
    <row r="841" spans="1:8" s="14" customFormat="1" ht="15" x14ac:dyDescent="0.2">
      <c r="A841" s="29" t="s">
        <v>368</v>
      </c>
      <c r="B841" s="30" t="s">
        <v>620</v>
      </c>
      <c r="C841" s="30" t="s">
        <v>206</v>
      </c>
      <c r="D841" s="30"/>
      <c r="E841" s="30"/>
      <c r="F841" s="31">
        <f t="shared" si="165"/>
        <v>323885.3</v>
      </c>
      <c r="G841" s="45">
        <f t="shared" si="165"/>
        <v>0</v>
      </c>
      <c r="H841" s="45">
        <f>H842</f>
        <v>0</v>
      </c>
    </row>
    <row r="842" spans="1:8" s="14" customFormat="1" ht="15" x14ac:dyDescent="0.2">
      <c r="A842" s="29" t="s">
        <v>561</v>
      </c>
      <c r="B842" s="30" t="s">
        <v>620</v>
      </c>
      <c r="C842" s="30" t="s">
        <v>206</v>
      </c>
      <c r="D842" s="30" t="s">
        <v>173</v>
      </c>
      <c r="E842" s="30"/>
      <c r="F842" s="31">
        <f t="shared" si="165"/>
        <v>323885.3</v>
      </c>
      <c r="G842" s="45">
        <f t="shared" si="165"/>
        <v>0</v>
      </c>
      <c r="H842" s="45">
        <f>H843</f>
        <v>0</v>
      </c>
    </row>
    <row r="843" spans="1:8" s="14" customFormat="1" ht="15" x14ac:dyDescent="0.2">
      <c r="A843" s="35" t="s">
        <v>344</v>
      </c>
      <c r="B843" s="36" t="s">
        <v>620</v>
      </c>
      <c r="C843" s="36" t="s">
        <v>206</v>
      </c>
      <c r="D843" s="36" t="s">
        <v>173</v>
      </c>
      <c r="E843" s="36" t="s">
        <v>345</v>
      </c>
      <c r="F843" s="37">
        <f t="shared" si="165"/>
        <v>323885.3</v>
      </c>
      <c r="G843" s="46">
        <f t="shared" si="165"/>
        <v>0</v>
      </c>
      <c r="H843" s="46">
        <f>H844</f>
        <v>0</v>
      </c>
    </row>
    <row r="844" spans="1:8" s="14" customFormat="1" ht="15" x14ac:dyDescent="0.2">
      <c r="A844" s="35" t="s">
        <v>346</v>
      </c>
      <c r="B844" s="36" t="s">
        <v>620</v>
      </c>
      <c r="C844" s="36" t="s">
        <v>206</v>
      </c>
      <c r="D844" s="36" t="s">
        <v>173</v>
      </c>
      <c r="E844" s="36" t="s">
        <v>347</v>
      </c>
      <c r="F844" s="37">
        <f>403885.3-80000</f>
        <v>323885.3</v>
      </c>
      <c r="G844" s="46">
        <v>0</v>
      </c>
      <c r="H844" s="46">
        <v>0</v>
      </c>
    </row>
    <row r="845" spans="1:8" s="14" customFormat="1" ht="24" x14ac:dyDescent="0.2">
      <c r="A845" s="29" t="s">
        <v>621</v>
      </c>
      <c r="B845" s="30" t="s">
        <v>622</v>
      </c>
      <c r="C845" s="30"/>
      <c r="D845" s="30"/>
      <c r="E845" s="30"/>
      <c r="F845" s="31">
        <f t="shared" ref="F845:G848" si="166">F846</f>
        <v>95100</v>
      </c>
      <c r="G845" s="45">
        <f t="shared" si="166"/>
        <v>0</v>
      </c>
      <c r="H845" s="45">
        <f>H846</f>
        <v>0</v>
      </c>
    </row>
    <row r="846" spans="1:8" s="14" customFormat="1" ht="15" x14ac:dyDescent="0.2">
      <c r="A846" s="29" t="s">
        <v>368</v>
      </c>
      <c r="B846" s="30" t="s">
        <v>622</v>
      </c>
      <c r="C846" s="30" t="s">
        <v>206</v>
      </c>
      <c r="D846" s="30"/>
      <c r="E846" s="30"/>
      <c r="F846" s="31">
        <f t="shared" si="166"/>
        <v>95100</v>
      </c>
      <c r="G846" s="45">
        <f t="shared" si="166"/>
        <v>0</v>
      </c>
      <c r="H846" s="45">
        <f>H847</f>
        <v>0</v>
      </c>
    </row>
    <row r="847" spans="1:8" s="14" customFormat="1" ht="15" x14ac:dyDescent="0.2">
      <c r="A847" s="29" t="s">
        <v>561</v>
      </c>
      <c r="B847" s="30" t="s">
        <v>622</v>
      </c>
      <c r="C847" s="30" t="s">
        <v>206</v>
      </c>
      <c r="D847" s="30" t="s">
        <v>173</v>
      </c>
      <c r="E847" s="30"/>
      <c r="F847" s="31">
        <f t="shared" si="166"/>
        <v>95100</v>
      </c>
      <c r="G847" s="45">
        <f t="shared" si="166"/>
        <v>0</v>
      </c>
      <c r="H847" s="45">
        <f>H848</f>
        <v>0</v>
      </c>
    </row>
    <row r="848" spans="1:8" s="14" customFormat="1" ht="15" x14ac:dyDescent="0.2">
      <c r="A848" s="35" t="s">
        <v>344</v>
      </c>
      <c r="B848" s="36" t="s">
        <v>622</v>
      </c>
      <c r="C848" s="36" t="s">
        <v>206</v>
      </c>
      <c r="D848" s="36" t="s">
        <v>173</v>
      </c>
      <c r="E848" s="36" t="s">
        <v>345</v>
      </c>
      <c r="F848" s="37">
        <f t="shared" si="166"/>
        <v>95100</v>
      </c>
      <c r="G848" s="46">
        <f t="shared" si="166"/>
        <v>0</v>
      </c>
      <c r="H848" s="46">
        <f>H849</f>
        <v>0</v>
      </c>
    </row>
    <row r="849" spans="1:8" s="14" customFormat="1" ht="15" x14ac:dyDescent="0.2">
      <c r="A849" s="35" t="s">
        <v>346</v>
      </c>
      <c r="B849" s="36" t="s">
        <v>622</v>
      </c>
      <c r="C849" s="36" t="s">
        <v>206</v>
      </c>
      <c r="D849" s="36" t="s">
        <v>173</v>
      </c>
      <c r="E849" s="36" t="s">
        <v>347</v>
      </c>
      <c r="F849" s="37">
        <f>5000+10100+80000</f>
        <v>95100</v>
      </c>
      <c r="G849" s="46">
        <v>0</v>
      </c>
      <c r="H849" s="46">
        <v>0</v>
      </c>
    </row>
    <row r="850" spans="1:8" s="14" customFormat="1" ht="15" x14ac:dyDescent="0.2">
      <c r="A850" s="112" t="s">
        <v>808</v>
      </c>
      <c r="B850" s="111"/>
      <c r="C850" s="111"/>
      <c r="D850" s="111"/>
      <c r="E850" s="111"/>
      <c r="F850" s="110">
        <f>F851+F856+F867+F872+F885+F898+F909+F922</f>
        <v>708008.71857000003</v>
      </c>
      <c r="G850" s="110">
        <f>G851+G856+G867+G872+G885+G898+G909+G922</f>
        <v>493458.9</v>
      </c>
      <c r="H850" s="110">
        <f>H851+H856+H867+H872+H885+H898+H909+H922</f>
        <v>474267.64309999999</v>
      </c>
    </row>
    <row r="851" spans="1:8" s="14" customFormat="1" ht="15" x14ac:dyDescent="0.2">
      <c r="A851" s="85" t="s">
        <v>809</v>
      </c>
      <c r="B851" s="109" t="s">
        <v>745</v>
      </c>
      <c r="C851" s="109"/>
      <c r="D851" s="109"/>
      <c r="E851" s="109"/>
      <c r="F851" s="97">
        <f t="shared" ref="F851:H854" si="167">F852</f>
        <v>3518.2980000000002</v>
      </c>
      <c r="G851" s="97">
        <f t="shared" si="167"/>
        <v>2645.4</v>
      </c>
      <c r="H851" s="97">
        <f t="shared" si="167"/>
        <v>2645.4</v>
      </c>
    </row>
    <row r="852" spans="1:8" s="14" customFormat="1" ht="15" x14ac:dyDescent="0.2">
      <c r="A852" s="216" t="s">
        <v>749</v>
      </c>
      <c r="B852" s="30" t="s">
        <v>746</v>
      </c>
      <c r="C852" s="30"/>
      <c r="D852" s="36"/>
      <c r="E852" s="40"/>
      <c r="F852" s="31">
        <f t="shared" si="167"/>
        <v>3518.2980000000002</v>
      </c>
      <c r="G852" s="31">
        <f t="shared" si="167"/>
        <v>2645.4</v>
      </c>
      <c r="H852" s="31">
        <f t="shared" si="167"/>
        <v>2645.4</v>
      </c>
    </row>
    <row r="853" spans="1:8" s="14" customFormat="1" ht="15" x14ac:dyDescent="0.2">
      <c r="A853" s="216" t="s">
        <v>172</v>
      </c>
      <c r="B853" s="67" t="s">
        <v>750</v>
      </c>
      <c r="C853" s="74" t="s">
        <v>173</v>
      </c>
      <c r="D853" s="74"/>
      <c r="E853" s="74"/>
      <c r="F853" s="31">
        <f t="shared" si="167"/>
        <v>3518.2980000000002</v>
      </c>
      <c r="G853" s="31">
        <f t="shared" si="167"/>
        <v>2645.4</v>
      </c>
      <c r="H853" s="31">
        <f t="shared" si="167"/>
        <v>2645.4</v>
      </c>
    </row>
    <row r="854" spans="1:8" s="14" customFormat="1" ht="36" x14ac:dyDescent="0.2">
      <c r="A854" s="35" t="s">
        <v>185</v>
      </c>
      <c r="B854" s="36" t="s">
        <v>751</v>
      </c>
      <c r="C854" s="12" t="s">
        <v>173</v>
      </c>
      <c r="D854" s="12" t="s">
        <v>352</v>
      </c>
      <c r="E854" s="12" t="s">
        <v>186</v>
      </c>
      <c r="F854" s="31">
        <f t="shared" si="167"/>
        <v>3518.2980000000002</v>
      </c>
      <c r="G854" s="31">
        <f t="shared" si="167"/>
        <v>2645.4</v>
      </c>
      <c r="H854" s="31">
        <f t="shared" si="167"/>
        <v>2645.4</v>
      </c>
    </row>
    <row r="855" spans="1:8" s="14" customFormat="1" ht="15" x14ac:dyDescent="0.2">
      <c r="A855" s="35" t="s">
        <v>187</v>
      </c>
      <c r="B855" s="36" t="s">
        <v>751</v>
      </c>
      <c r="C855" s="12" t="s">
        <v>173</v>
      </c>
      <c r="D855" s="12" t="s">
        <v>352</v>
      </c>
      <c r="E855" s="12" t="s">
        <v>188</v>
      </c>
      <c r="F855" s="98">
        <f>2645.4+105.898+454+313</f>
        <v>3518.2980000000002</v>
      </c>
      <c r="G855" s="98">
        <v>2645.4</v>
      </c>
      <c r="H855" s="98">
        <v>2645.4</v>
      </c>
    </row>
    <row r="856" spans="1:8" s="14" customFormat="1" ht="15" x14ac:dyDescent="0.2">
      <c r="A856" s="85" t="s">
        <v>810</v>
      </c>
      <c r="B856" s="108" t="s">
        <v>754</v>
      </c>
      <c r="C856" s="106"/>
      <c r="D856" s="106"/>
      <c r="E856" s="106"/>
      <c r="F856" s="78">
        <f>F857+F861</f>
        <v>42264.850999999995</v>
      </c>
      <c r="G856" s="78">
        <f>G857+G861</f>
        <v>38484</v>
      </c>
      <c r="H856" s="78">
        <f>H857+H861</f>
        <v>38484</v>
      </c>
    </row>
    <row r="857" spans="1:8" s="14" customFormat="1" ht="15" x14ac:dyDescent="0.2">
      <c r="A857" s="77" t="s">
        <v>749</v>
      </c>
      <c r="B857" s="67" t="s">
        <v>755</v>
      </c>
      <c r="C857" s="40"/>
      <c r="D857" s="40"/>
      <c r="E857" s="54"/>
      <c r="F857" s="41">
        <f t="shared" ref="F857:H859" si="168">F858</f>
        <v>36879.850999999995</v>
      </c>
      <c r="G857" s="41">
        <f t="shared" si="168"/>
        <v>33099</v>
      </c>
      <c r="H857" s="41">
        <f t="shared" si="168"/>
        <v>33099</v>
      </c>
    </row>
    <row r="858" spans="1:8" s="14" customFormat="1" ht="14.25" customHeight="1" x14ac:dyDescent="0.2">
      <c r="A858" s="77" t="s">
        <v>172</v>
      </c>
      <c r="B858" s="67" t="s">
        <v>756</v>
      </c>
      <c r="C858" s="30" t="s">
        <v>173</v>
      </c>
      <c r="D858" s="30" t="s">
        <v>283</v>
      </c>
      <c r="E858" s="54"/>
      <c r="F858" s="41">
        <f t="shared" si="168"/>
        <v>36879.850999999995</v>
      </c>
      <c r="G858" s="41">
        <f t="shared" si="168"/>
        <v>33099</v>
      </c>
      <c r="H858" s="41">
        <f t="shared" si="168"/>
        <v>33099</v>
      </c>
    </row>
    <row r="859" spans="1:8" s="14" customFormat="1" ht="36" x14ac:dyDescent="0.2">
      <c r="A859" s="35" t="s">
        <v>185</v>
      </c>
      <c r="B859" s="36" t="s">
        <v>756</v>
      </c>
      <c r="C859" s="36" t="s">
        <v>173</v>
      </c>
      <c r="D859" s="36" t="s">
        <v>283</v>
      </c>
      <c r="E859" s="36" t="s">
        <v>186</v>
      </c>
      <c r="F859" s="37">
        <f t="shared" si="168"/>
        <v>36879.850999999995</v>
      </c>
      <c r="G859" s="37">
        <f t="shared" si="168"/>
        <v>33099</v>
      </c>
      <c r="H859" s="37">
        <f t="shared" si="168"/>
        <v>33099</v>
      </c>
    </row>
    <row r="860" spans="1:8" s="14" customFormat="1" ht="15" x14ac:dyDescent="0.2">
      <c r="A860" s="35" t="s">
        <v>187</v>
      </c>
      <c r="B860" s="36" t="s">
        <v>756</v>
      </c>
      <c r="C860" s="36" t="s">
        <v>173</v>
      </c>
      <c r="D860" s="36" t="s">
        <v>283</v>
      </c>
      <c r="E860" s="36" t="s">
        <v>188</v>
      </c>
      <c r="F860" s="98">
        <f>33099+2959.749-105.898+486+441</f>
        <v>36879.850999999995</v>
      </c>
      <c r="G860" s="98">
        <v>33099</v>
      </c>
      <c r="H860" s="98">
        <v>33099</v>
      </c>
    </row>
    <row r="861" spans="1:8" s="14" customFormat="1" ht="15" x14ac:dyDescent="0.2">
      <c r="A861" s="29" t="s">
        <v>757</v>
      </c>
      <c r="B861" s="74" t="s">
        <v>755</v>
      </c>
      <c r="C861" s="30" t="s">
        <v>173</v>
      </c>
      <c r="D861" s="30"/>
      <c r="E861" s="36"/>
      <c r="F861" s="31">
        <f>F862</f>
        <v>5385</v>
      </c>
      <c r="G861" s="31">
        <f>G862</f>
        <v>5385</v>
      </c>
      <c r="H861" s="31">
        <f>H862</f>
        <v>5385</v>
      </c>
    </row>
    <row r="862" spans="1:8" s="14" customFormat="1" ht="15" x14ac:dyDescent="0.2">
      <c r="A862" s="77" t="s">
        <v>172</v>
      </c>
      <c r="B862" s="30" t="s">
        <v>758</v>
      </c>
      <c r="C862" s="30" t="s">
        <v>173</v>
      </c>
      <c r="D862" s="30" t="s">
        <v>283</v>
      </c>
      <c r="E862" s="36"/>
      <c r="F862" s="31">
        <f>F863+F865</f>
        <v>5385</v>
      </c>
      <c r="G862" s="31">
        <f>G863+G865</f>
        <v>5385</v>
      </c>
      <c r="H862" s="31">
        <f>H863+H865</f>
        <v>5385</v>
      </c>
    </row>
    <row r="863" spans="1:8" s="14" customFormat="1" ht="14.25" customHeight="1" x14ac:dyDescent="0.2">
      <c r="A863" s="35" t="s">
        <v>195</v>
      </c>
      <c r="B863" s="36" t="s">
        <v>758</v>
      </c>
      <c r="C863" s="36" t="s">
        <v>173</v>
      </c>
      <c r="D863" s="36" t="s">
        <v>283</v>
      </c>
      <c r="E863" s="36" t="s">
        <v>196</v>
      </c>
      <c r="F863" s="37">
        <f>F864</f>
        <v>5365</v>
      </c>
      <c r="G863" s="37">
        <f>G864</f>
        <v>5365</v>
      </c>
      <c r="H863" s="37">
        <f>H864</f>
        <v>5365</v>
      </c>
    </row>
    <row r="864" spans="1:8" s="14" customFormat="1" ht="15" x14ac:dyDescent="0.2">
      <c r="A864" s="35" t="s">
        <v>197</v>
      </c>
      <c r="B864" s="36" t="s">
        <v>758</v>
      </c>
      <c r="C864" s="36" t="s">
        <v>173</v>
      </c>
      <c r="D864" s="36" t="s">
        <v>283</v>
      </c>
      <c r="E864" s="36" t="s">
        <v>198</v>
      </c>
      <c r="F864" s="98">
        <v>5365</v>
      </c>
      <c r="G864" s="98">
        <v>5365</v>
      </c>
      <c r="H864" s="98">
        <v>5365</v>
      </c>
    </row>
    <row r="865" spans="1:8" s="14" customFormat="1" ht="15" x14ac:dyDescent="0.2">
      <c r="A865" s="35" t="s">
        <v>199</v>
      </c>
      <c r="B865" s="36" t="s">
        <v>758</v>
      </c>
      <c r="C865" s="36" t="s">
        <v>173</v>
      </c>
      <c r="D865" s="36" t="s">
        <v>283</v>
      </c>
      <c r="E865" s="36" t="s">
        <v>200</v>
      </c>
      <c r="F865" s="98">
        <f>F866</f>
        <v>20</v>
      </c>
      <c r="G865" s="98">
        <f>G866</f>
        <v>20</v>
      </c>
      <c r="H865" s="98">
        <f>H866</f>
        <v>20</v>
      </c>
    </row>
    <row r="866" spans="1:8" s="14" customFormat="1" ht="15" x14ac:dyDescent="0.2">
      <c r="A866" s="35" t="s">
        <v>201</v>
      </c>
      <c r="B866" s="36" t="s">
        <v>758</v>
      </c>
      <c r="C866" s="36" t="s">
        <v>173</v>
      </c>
      <c r="D866" s="36" t="s">
        <v>283</v>
      </c>
      <c r="E866" s="36" t="s">
        <v>202</v>
      </c>
      <c r="F866" s="98">
        <v>20</v>
      </c>
      <c r="G866" s="98">
        <v>20</v>
      </c>
      <c r="H866" s="98">
        <v>20</v>
      </c>
    </row>
    <row r="867" spans="1:8" s="14" customFormat="1" ht="27" x14ac:dyDescent="0.2">
      <c r="A867" s="85" t="s">
        <v>182</v>
      </c>
      <c r="B867" s="79" t="s">
        <v>179</v>
      </c>
      <c r="C867" s="79"/>
      <c r="D867" s="79"/>
      <c r="E867" s="79"/>
      <c r="F867" s="78">
        <f t="shared" ref="F867:H870" si="169">F868</f>
        <v>2333.6</v>
      </c>
      <c r="G867" s="78">
        <f t="shared" si="169"/>
        <v>2333.6</v>
      </c>
      <c r="H867" s="78">
        <f t="shared" si="169"/>
        <v>2333.6</v>
      </c>
    </row>
    <row r="868" spans="1:8" s="14" customFormat="1" ht="15" x14ac:dyDescent="0.2">
      <c r="A868" s="29" t="s">
        <v>183</v>
      </c>
      <c r="B868" s="30" t="s">
        <v>184</v>
      </c>
      <c r="C868" s="30"/>
      <c r="D868" s="30"/>
      <c r="E868" s="30"/>
      <c r="F868" s="31">
        <f t="shared" si="169"/>
        <v>2333.6</v>
      </c>
      <c r="G868" s="31">
        <f t="shared" si="169"/>
        <v>2333.6</v>
      </c>
      <c r="H868" s="31">
        <f t="shared" si="169"/>
        <v>2333.6</v>
      </c>
    </row>
    <row r="869" spans="1:8" s="14" customFormat="1" ht="15" x14ac:dyDescent="0.2">
      <c r="A869" s="77" t="s">
        <v>172</v>
      </c>
      <c r="B869" s="30" t="s">
        <v>184</v>
      </c>
      <c r="C869" s="30" t="s">
        <v>173</v>
      </c>
      <c r="D869" s="40"/>
      <c r="E869" s="30"/>
      <c r="F869" s="31">
        <f t="shared" si="169"/>
        <v>2333.6</v>
      </c>
      <c r="G869" s="31">
        <f t="shared" si="169"/>
        <v>2333.6</v>
      </c>
      <c r="H869" s="31">
        <f t="shared" si="169"/>
        <v>2333.6</v>
      </c>
    </row>
    <row r="870" spans="1:8" s="14" customFormat="1" ht="36" x14ac:dyDescent="0.2">
      <c r="A870" s="35" t="s">
        <v>185</v>
      </c>
      <c r="B870" s="36" t="s">
        <v>184</v>
      </c>
      <c r="C870" s="36" t="s">
        <v>173</v>
      </c>
      <c r="D870" s="36" t="s">
        <v>177</v>
      </c>
      <c r="E870" s="36" t="s">
        <v>186</v>
      </c>
      <c r="F870" s="37">
        <f t="shared" si="169"/>
        <v>2333.6</v>
      </c>
      <c r="G870" s="37">
        <f t="shared" si="169"/>
        <v>2333.6</v>
      </c>
      <c r="H870" s="37">
        <f t="shared" si="169"/>
        <v>2333.6</v>
      </c>
    </row>
    <row r="871" spans="1:8" s="14" customFormat="1" ht="15" x14ac:dyDescent="0.2">
      <c r="A871" s="35" t="s">
        <v>187</v>
      </c>
      <c r="B871" s="36" t="s">
        <v>184</v>
      </c>
      <c r="C871" s="36" t="s">
        <v>173</v>
      </c>
      <c r="D871" s="36" t="s">
        <v>177</v>
      </c>
      <c r="E871" s="36" t="s">
        <v>188</v>
      </c>
      <c r="F871" s="98">
        <v>2333.6</v>
      </c>
      <c r="G871" s="98">
        <v>2333.6</v>
      </c>
      <c r="H871" s="98">
        <v>2333.6</v>
      </c>
    </row>
    <row r="872" spans="1:8" s="14" customFormat="1" ht="27" x14ac:dyDescent="0.2">
      <c r="A872" s="85" t="s">
        <v>811</v>
      </c>
      <c r="B872" s="79" t="s">
        <v>766</v>
      </c>
      <c r="C872" s="107"/>
      <c r="D872" s="107"/>
      <c r="E872" s="106"/>
      <c r="F872" s="104">
        <f>F873+F878</f>
        <v>20586.325000000001</v>
      </c>
      <c r="G872" s="104">
        <f>G873+G878</f>
        <v>17508</v>
      </c>
      <c r="H872" s="104">
        <f>H873+H878</f>
        <v>17508</v>
      </c>
    </row>
    <row r="873" spans="1:8" s="14" customFormat="1" ht="24" x14ac:dyDescent="0.2">
      <c r="A873" s="29" t="s">
        <v>768</v>
      </c>
      <c r="B873" s="30" t="s">
        <v>769</v>
      </c>
      <c r="C873" s="30"/>
      <c r="D873" s="30"/>
      <c r="E873" s="30"/>
      <c r="F873" s="31">
        <f>F876</f>
        <v>18374.525000000001</v>
      </c>
      <c r="G873" s="31">
        <f>G876</f>
        <v>15296.2</v>
      </c>
      <c r="H873" s="31">
        <f>H876</f>
        <v>15296.2</v>
      </c>
    </row>
    <row r="874" spans="1:8" s="14" customFormat="1" ht="15" x14ac:dyDescent="0.2">
      <c r="A874" s="77" t="s">
        <v>172</v>
      </c>
      <c r="B874" s="30" t="s">
        <v>769</v>
      </c>
      <c r="C874" s="30" t="s">
        <v>173</v>
      </c>
      <c r="D874" s="30"/>
      <c r="E874" s="30"/>
      <c r="F874" s="31">
        <f t="shared" ref="F874:H876" si="170">F875</f>
        <v>18374.525000000001</v>
      </c>
      <c r="G874" s="31">
        <f t="shared" si="170"/>
        <v>15296.2</v>
      </c>
      <c r="H874" s="31">
        <f t="shared" si="170"/>
        <v>15296.2</v>
      </c>
    </row>
    <row r="875" spans="1:8" s="14" customFormat="1" ht="24" x14ac:dyDescent="0.2">
      <c r="A875" s="57" t="s">
        <v>829</v>
      </c>
      <c r="B875" s="30" t="s">
        <v>769</v>
      </c>
      <c r="C875" s="30" t="s">
        <v>173</v>
      </c>
      <c r="D875" s="30" t="s">
        <v>656</v>
      </c>
      <c r="E875" s="30"/>
      <c r="F875" s="31">
        <f t="shared" si="170"/>
        <v>18374.525000000001</v>
      </c>
      <c r="G875" s="31">
        <f t="shared" si="170"/>
        <v>15296.2</v>
      </c>
      <c r="H875" s="31">
        <f t="shared" si="170"/>
        <v>15296.2</v>
      </c>
    </row>
    <row r="876" spans="1:8" s="14" customFormat="1" ht="36" x14ac:dyDescent="0.2">
      <c r="A876" s="35" t="s">
        <v>185</v>
      </c>
      <c r="B876" s="36" t="s">
        <v>769</v>
      </c>
      <c r="C876" s="36" t="s">
        <v>173</v>
      </c>
      <c r="D876" s="36" t="s">
        <v>656</v>
      </c>
      <c r="E876" s="36" t="s">
        <v>186</v>
      </c>
      <c r="F876" s="37">
        <f t="shared" si="170"/>
        <v>18374.525000000001</v>
      </c>
      <c r="G876" s="37">
        <f t="shared" si="170"/>
        <v>15296.2</v>
      </c>
      <c r="H876" s="37">
        <f t="shared" si="170"/>
        <v>15296.2</v>
      </c>
    </row>
    <row r="877" spans="1:8" s="14" customFormat="1" ht="15" x14ac:dyDescent="0.2">
      <c r="A877" s="35" t="s">
        <v>187</v>
      </c>
      <c r="B877" s="36" t="s">
        <v>769</v>
      </c>
      <c r="C877" s="36" t="s">
        <v>173</v>
      </c>
      <c r="D877" s="36" t="s">
        <v>656</v>
      </c>
      <c r="E877" s="36" t="s">
        <v>188</v>
      </c>
      <c r="F877" s="98">
        <f>15296.2+3078.325</f>
        <v>18374.525000000001</v>
      </c>
      <c r="G877" s="98">
        <v>15296.2</v>
      </c>
      <c r="H877" s="98">
        <v>15296.2</v>
      </c>
    </row>
    <row r="878" spans="1:8" s="14" customFormat="1" ht="24" x14ac:dyDescent="0.2">
      <c r="A878" s="29" t="s">
        <v>770</v>
      </c>
      <c r="B878" s="30" t="s">
        <v>771</v>
      </c>
      <c r="C878" s="30"/>
      <c r="D878" s="30"/>
      <c r="E878" s="30"/>
      <c r="F878" s="31">
        <f t="shared" ref="F878:H879" si="171">F879</f>
        <v>2211.8000000000002</v>
      </c>
      <c r="G878" s="31">
        <f t="shared" si="171"/>
        <v>2211.8000000000002</v>
      </c>
      <c r="H878" s="31">
        <f t="shared" si="171"/>
        <v>2211.8000000000002</v>
      </c>
    </row>
    <row r="879" spans="1:8" s="14" customFormat="1" ht="15" x14ac:dyDescent="0.2">
      <c r="A879" s="77" t="s">
        <v>172</v>
      </c>
      <c r="B879" s="30" t="s">
        <v>771</v>
      </c>
      <c r="C879" s="30" t="s">
        <v>173</v>
      </c>
      <c r="D879" s="30"/>
      <c r="E879" s="30"/>
      <c r="F879" s="31">
        <f t="shared" si="171"/>
        <v>2211.8000000000002</v>
      </c>
      <c r="G879" s="31">
        <f t="shared" si="171"/>
        <v>2211.8000000000002</v>
      </c>
      <c r="H879" s="31">
        <f t="shared" si="171"/>
        <v>2211.8000000000002</v>
      </c>
    </row>
    <row r="880" spans="1:8" s="14" customFormat="1" ht="24" x14ac:dyDescent="0.2">
      <c r="A880" s="57" t="s">
        <v>829</v>
      </c>
      <c r="B880" s="30" t="s">
        <v>771</v>
      </c>
      <c r="C880" s="30" t="s">
        <v>173</v>
      </c>
      <c r="D880" s="30" t="s">
        <v>656</v>
      </c>
      <c r="E880" s="30"/>
      <c r="F880" s="31">
        <f>F881+F883</f>
        <v>2211.8000000000002</v>
      </c>
      <c r="G880" s="31">
        <f>G881+G883</f>
        <v>2211.8000000000002</v>
      </c>
      <c r="H880" s="31">
        <f>H881+H883</f>
        <v>2211.8000000000002</v>
      </c>
    </row>
    <row r="881" spans="1:8" s="14" customFormat="1" ht="15" x14ac:dyDescent="0.2">
      <c r="A881" s="35" t="s">
        <v>195</v>
      </c>
      <c r="B881" s="36" t="s">
        <v>771</v>
      </c>
      <c r="C881" s="36" t="s">
        <v>173</v>
      </c>
      <c r="D881" s="36" t="s">
        <v>656</v>
      </c>
      <c r="E881" s="36" t="s">
        <v>196</v>
      </c>
      <c r="F881" s="37">
        <f>F882</f>
        <v>2173.3000000000002</v>
      </c>
      <c r="G881" s="37">
        <f>G882</f>
        <v>2173.3000000000002</v>
      </c>
      <c r="H881" s="37">
        <f>H882</f>
        <v>2173.3000000000002</v>
      </c>
    </row>
    <row r="882" spans="1:8" s="14" customFormat="1" ht="15" x14ac:dyDescent="0.2">
      <c r="A882" s="35" t="s">
        <v>197</v>
      </c>
      <c r="B882" s="36" t="s">
        <v>771</v>
      </c>
      <c r="C882" s="36" t="s">
        <v>173</v>
      </c>
      <c r="D882" s="36" t="s">
        <v>656</v>
      </c>
      <c r="E882" s="36" t="s">
        <v>198</v>
      </c>
      <c r="F882" s="98">
        <v>2173.3000000000002</v>
      </c>
      <c r="G882" s="98">
        <v>2173.3000000000002</v>
      </c>
      <c r="H882" s="98">
        <v>2173.3000000000002</v>
      </c>
    </row>
    <row r="883" spans="1:8" s="14" customFormat="1" ht="15" x14ac:dyDescent="0.2">
      <c r="A883" s="35" t="s">
        <v>199</v>
      </c>
      <c r="B883" s="36" t="s">
        <v>771</v>
      </c>
      <c r="C883" s="36" t="s">
        <v>173</v>
      </c>
      <c r="D883" s="36" t="s">
        <v>656</v>
      </c>
      <c r="E883" s="36" t="s">
        <v>200</v>
      </c>
      <c r="F883" s="98">
        <f>F884</f>
        <v>38.5</v>
      </c>
      <c r="G883" s="98">
        <f t="shared" ref="G883:H883" si="172">G884</f>
        <v>38.5</v>
      </c>
      <c r="H883" s="98">
        <f t="shared" si="172"/>
        <v>38.5</v>
      </c>
    </row>
    <row r="884" spans="1:8" s="14" customFormat="1" ht="15" x14ac:dyDescent="0.2">
      <c r="A884" s="35" t="s">
        <v>201</v>
      </c>
      <c r="B884" s="36" t="s">
        <v>771</v>
      </c>
      <c r="C884" s="36" t="s">
        <v>173</v>
      </c>
      <c r="D884" s="36" t="s">
        <v>656</v>
      </c>
      <c r="E884" s="36" t="s">
        <v>202</v>
      </c>
      <c r="F884" s="98">
        <v>38.5</v>
      </c>
      <c r="G884" s="98">
        <v>38.5</v>
      </c>
      <c r="H884" s="98">
        <v>38.5</v>
      </c>
    </row>
    <row r="885" spans="1:8" s="14" customFormat="1" ht="15" x14ac:dyDescent="0.2">
      <c r="A885" s="85" t="s">
        <v>812</v>
      </c>
      <c r="B885" s="79" t="s">
        <v>189</v>
      </c>
      <c r="C885" s="106"/>
      <c r="D885" s="106"/>
      <c r="E885" s="106"/>
      <c r="F885" s="104">
        <f>F886</f>
        <v>25364.695480000002</v>
      </c>
      <c r="G885" s="104">
        <f t="shared" ref="G885:H887" si="173">G886</f>
        <v>22077.1</v>
      </c>
      <c r="H885" s="104">
        <f t="shared" si="173"/>
        <v>22077.1</v>
      </c>
    </row>
    <row r="886" spans="1:8" s="14" customFormat="1" ht="15" x14ac:dyDescent="0.2">
      <c r="A886" s="77" t="s">
        <v>813</v>
      </c>
      <c r="B886" s="74" t="s">
        <v>190</v>
      </c>
      <c r="C886" s="74"/>
      <c r="D886" s="74"/>
      <c r="E886" s="74"/>
      <c r="F886" s="31">
        <f>F887</f>
        <v>25364.695480000002</v>
      </c>
      <c r="G886" s="31">
        <f t="shared" si="173"/>
        <v>22077.1</v>
      </c>
      <c r="H886" s="31">
        <f t="shared" si="173"/>
        <v>22077.1</v>
      </c>
    </row>
    <row r="887" spans="1:8" s="14" customFormat="1" ht="15" x14ac:dyDescent="0.2">
      <c r="A887" s="77" t="s">
        <v>172</v>
      </c>
      <c r="B887" s="74" t="s">
        <v>190</v>
      </c>
      <c r="C887" s="74" t="s">
        <v>173</v>
      </c>
      <c r="D887" s="74"/>
      <c r="E887" s="74"/>
      <c r="F887" s="31">
        <f>F888+F891</f>
        <v>25364.695480000002</v>
      </c>
      <c r="G887" s="31">
        <f>G888+G891</f>
        <v>22077.1</v>
      </c>
      <c r="H887" s="31">
        <f t="shared" si="173"/>
        <v>22077.1</v>
      </c>
    </row>
    <row r="888" spans="1:8" s="14" customFormat="1" ht="24" x14ac:dyDescent="0.2">
      <c r="A888" s="77" t="s">
        <v>655</v>
      </c>
      <c r="B888" s="74" t="s">
        <v>192</v>
      </c>
      <c r="C888" s="74" t="s">
        <v>173</v>
      </c>
      <c r="D888" s="74" t="s">
        <v>656</v>
      </c>
      <c r="E888" s="74"/>
      <c r="F888" s="31">
        <f>F889</f>
        <v>21695.714</v>
      </c>
      <c r="G888" s="31">
        <f>G889</f>
        <v>17967.099999999999</v>
      </c>
      <c r="H888" s="31">
        <f>H889+H892</f>
        <v>22077.1</v>
      </c>
    </row>
    <row r="889" spans="1:8" s="14" customFormat="1" ht="36" x14ac:dyDescent="0.2">
      <c r="A889" s="81" t="s">
        <v>185</v>
      </c>
      <c r="B889" s="12" t="s">
        <v>192</v>
      </c>
      <c r="C889" s="12" t="s">
        <v>173</v>
      </c>
      <c r="D889" s="12" t="s">
        <v>656</v>
      </c>
      <c r="E889" s="12" t="s">
        <v>186</v>
      </c>
      <c r="F889" s="37">
        <f>F890</f>
        <v>21695.714</v>
      </c>
      <c r="G889" s="37">
        <f>G890</f>
        <v>17967.099999999999</v>
      </c>
      <c r="H889" s="37">
        <f>H890</f>
        <v>17967.099999999999</v>
      </c>
    </row>
    <row r="890" spans="1:8" s="14" customFormat="1" ht="15" x14ac:dyDescent="0.2">
      <c r="A890" s="81" t="s">
        <v>187</v>
      </c>
      <c r="B890" s="12" t="s">
        <v>192</v>
      </c>
      <c r="C890" s="12" t="s">
        <v>173</v>
      </c>
      <c r="D890" s="12" t="s">
        <v>656</v>
      </c>
      <c r="E890" s="12" t="s">
        <v>188</v>
      </c>
      <c r="F890" s="98">
        <f>17967.1+3728.614</f>
        <v>21695.714</v>
      </c>
      <c r="G890" s="98">
        <v>17967.099999999999</v>
      </c>
      <c r="H890" s="98">
        <v>17967.099999999999</v>
      </c>
    </row>
    <row r="891" spans="1:8" s="14" customFormat="1" ht="15" x14ac:dyDescent="0.2">
      <c r="A891" s="77" t="s">
        <v>814</v>
      </c>
      <c r="B891" s="74" t="s">
        <v>190</v>
      </c>
      <c r="C891" s="74"/>
      <c r="D891" s="74"/>
      <c r="E891" s="74"/>
      <c r="F891" s="100">
        <f t="shared" ref="F891:H892" si="174">F892</f>
        <v>3668.9814800000004</v>
      </c>
      <c r="G891" s="100">
        <f t="shared" si="174"/>
        <v>4110</v>
      </c>
      <c r="H891" s="100">
        <f t="shared" si="174"/>
        <v>4110</v>
      </c>
    </row>
    <row r="892" spans="1:8" s="14" customFormat="1" ht="15" x14ac:dyDescent="0.2">
      <c r="A892" s="77" t="s">
        <v>172</v>
      </c>
      <c r="B892" s="74" t="s">
        <v>194</v>
      </c>
      <c r="C892" s="74" t="s">
        <v>173</v>
      </c>
      <c r="D892" s="74"/>
      <c r="E892" s="74"/>
      <c r="F892" s="31">
        <f t="shared" si="174"/>
        <v>3668.9814800000004</v>
      </c>
      <c r="G892" s="31">
        <f t="shared" si="174"/>
        <v>4110</v>
      </c>
      <c r="H892" s="31">
        <f t="shared" si="174"/>
        <v>4110</v>
      </c>
    </row>
    <row r="893" spans="1:8" s="14" customFormat="1" ht="24" x14ac:dyDescent="0.2">
      <c r="A893" s="77" t="s">
        <v>655</v>
      </c>
      <c r="B893" s="74" t="s">
        <v>194</v>
      </c>
      <c r="C893" s="74" t="s">
        <v>173</v>
      </c>
      <c r="D893" s="74" t="s">
        <v>656</v>
      </c>
      <c r="E893" s="74"/>
      <c r="F893" s="31">
        <f>F894+F896</f>
        <v>3668.9814800000004</v>
      </c>
      <c r="G893" s="31">
        <f>G894+G896</f>
        <v>4110</v>
      </c>
      <c r="H893" s="31">
        <f>H894+H896</f>
        <v>4110</v>
      </c>
    </row>
    <row r="894" spans="1:8" s="14" customFormat="1" ht="15" x14ac:dyDescent="0.2">
      <c r="A894" s="81" t="s">
        <v>815</v>
      </c>
      <c r="B894" s="12" t="s">
        <v>194</v>
      </c>
      <c r="C894" s="12" t="s">
        <v>173</v>
      </c>
      <c r="D894" s="12" t="s">
        <v>656</v>
      </c>
      <c r="E894" s="12" t="s">
        <v>196</v>
      </c>
      <c r="F894" s="37">
        <f>F895</f>
        <v>3663.9814800000004</v>
      </c>
      <c r="G894" s="37">
        <f>G895</f>
        <v>4105</v>
      </c>
      <c r="H894" s="37">
        <f>H895</f>
        <v>4105</v>
      </c>
    </row>
    <row r="895" spans="1:8" s="14" customFormat="1" ht="15" x14ac:dyDescent="0.2">
      <c r="A895" s="81" t="s">
        <v>197</v>
      </c>
      <c r="B895" s="12" t="s">
        <v>194</v>
      </c>
      <c r="C895" s="12" t="s">
        <v>173</v>
      </c>
      <c r="D895" s="12" t="s">
        <v>656</v>
      </c>
      <c r="E895" s="12" t="s">
        <v>198</v>
      </c>
      <c r="F895" s="98">
        <f>4105-209.662-31.35652-200</f>
        <v>3663.9814800000004</v>
      </c>
      <c r="G895" s="98">
        <v>4105</v>
      </c>
      <c r="H895" s="98">
        <v>4105</v>
      </c>
    </row>
    <row r="896" spans="1:8" s="14" customFormat="1" ht="15" x14ac:dyDescent="0.2">
      <c r="A896" s="81" t="s">
        <v>199</v>
      </c>
      <c r="B896" s="12" t="s">
        <v>194</v>
      </c>
      <c r="C896" s="12" t="s">
        <v>173</v>
      </c>
      <c r="D896" s="12" t="s">
        <v>656</v>
      </c>
      <c r="E896" s="12" t="s">
        <v>200</v>
      </c>
      <c r="F896" s="98">
        <f>F897</f>
        <v>5</v>
      </c>
      <c r="G896" s="98">
        <f>G897</f>
        <v>5</v>
      </c>
      <c r="H896" s="98">
        <f>H897</f>
        <v>5</v>
      </c>
    </row>
    <row r="897" spans="1:8" s="14" customFormat="1" ht="15" x14ac:dyDescent="0.2">
      <c r="A897" s="81" t="s">
        <v>201</v>
      </c>
      <c r="B897" s="12" t="s">
        <v>194</v>
      </c>
      <c r="C897" s="12" t="s">
        <v>173</v>
      </c>
      <c r="D897" s="12" t="s">
        <v>656</v>
      </c>
      <c r="E897" s="12" t="s">
        <v>202</v>
      </c>
      <c r="F897" s="98">
        <v>5</v>
      </c>
      <c r="G897" s="98">
        <v>5</v>
      </c>
      <c r="H897" s="98">
        <v>5</v>
      </c>
    </row>
    <row r="898" spans="1:8" s="14" customFormat="1" ht="15" x14ac:dyDescent="0.2">
      <c r="A898" s="85" t="s">
        <v>816</v>
      </c>
      <c r="B898" s="79" t="s">
        <v>189</v>
      </c>
      <c r="C898" s="79"/>
      <c r="D898" s="79"/>
      <c r="E898" s="105"/>
      <c r="F898" s="86">
        <f>F899+F903</f>
        <v>263104.96710000001</v>
      </c>
      <c r="G898" s="86">
        <f>G899+G903</f>
        <v>206162.6</v>
      </c>
      <c r="H898" s="86">
        <f>H899+H903</f>
        <v>204036</v>
      </c>
    </row>
    <row r="899" spans="1:8" s="14" customFormat="1" ht="15" x14ac:dyDescent="0.2">
      <c r="A899" s="77" t="s">
        <v>183</v>
      </c>
      <c r="B899" s="74" t="s">
        <v>190</v>
      </c>
      <c r="C899" s="74"/>
      <c r="D899" s="74"/>
      <c r="E899" s="74"/>
      <c r="F899" s="45">
        <f t="shared" ref="F899:G901" si="175">F900</f>
        <v>229725.519</v>
      </c>
      <c r="G899" s="45">
        <f t="shared" si="175"/>
        <v>177154.1</v>
      </c>
      <c r="H899" s="45">
        <f>H900</f>
        <v>175027.5</v>
      </c>
    </row>
    <row r="900" spans="1:8" s="14" customFormat="1" ht="15" x14ac:dyDescent="0.2">
      <c r="A900" s="77" t="s">
        <v>172</v>
      </c>
      <c r="B900" s="74" t="s">
        <v>192</v>
      </c>
      <c r="C900" s="74" t="s">
        <v>173</v>
      </c>
      <c r="D900" s="74"/>
      <c r="E900" s="74"/>
      <c r="F900" s="31">
        <f t="shared" si="175"/>
        <v>229725.519</v>
      </c>
      <c r="G900" s="31">
        <f t="shared" si="175"/>
        <v>177154.1</v>
      </c>
      <c r="H900" s="31">
        <f>H901</f>
        <v>175027.5</v>
      </c>
    </row>
    <row r="901" spans="1:8" s="14" customFormat="1" ht="36" x14ac:dyDescent="0.2">
      <c r="A901" s="81" t="s">
        <v>185</v>
      </c>
      <c r="B901" s="12" t="s">
        <v>192</v>
      </c>
      <c r="C901" s="12" t="s">
        <v>173</v>
      </c>
      <c r="D901" s="12" t="s">
        <v>177</v>
      </c>
      <c r="E901" s="12" t="s">
        <v>186</v>
      </c>
      <c r="F901" s="37">
        <f t="shared" si="175"/>
        <v>229725.519</v>
      </c>
      <c r="G901" s="37">
        <f t="shared" si="175"/>
        <v>177154.1</v>
      </c>
      <c r="H901" s="37">
        <f>H902</f>
        <v>175027.5</v>
      </c>
    </row>
    <row r="902" spans="1:8" s="14" customFormat="1" ht="15" x14ac:dyDescent="0.2">
      <c r="A902" s="81" t="s">
        <v>187</v>
      </c>
      <c r="B902" s="12" t="s">
        <v>192</v>
      </c>
      <c r="C902" s="12" t="s">
        <v>173</v>
      </c>
      <c r="D902" s="12" t="s">
        <v>177</v>
      </c>
      <c r="E902" s="12" t="s">
        <v>188</v>
      </c>
      <c r="F902" s="98">
        <f>98353.3+300+100+934+29793.3+9596.1+9267.5+6899.3+50+2098.7+12375.4+17386.5+23708.69+2462.764+2033.298+2975.801+2297.599+2596.251-21000+21000+7997.016-1000-500</f>
        <v>229725.519</v>
      </c>
      <c r="G902" s="98">
        <f>98353.3+300+100+934+29793.3-10000+9596.1+9267.5+6899.3+50+2098.7+12375.4+17386.5</f>
        <v>177154.1</v>
      </c>
      <c r="H902" s="98">
        <f>98353.3+300+100+934+29793.3-12126.6+9596.1+9267.5+6899.3+50+2098.7+12375.4+17386.5</f>
        <v>175027.5</v>
      </c>
    </row>
    <row r="903" spans="1:8" s="14" customFormat="1" ht="15" x14ac:dyDescent="0.2">
      <c r="A903" s="77" t="s">
        <v>193</v>
      </c>
      <c r="B903" s="74" t="s">
        <v>190</v>
      </c>
      <c r="C903" s="74"/>
      <c r="D903" s="74"/>
      <c r="E903" s="74"/>
      <c r="F903" s="31">
        <f>F904</f>
        <v>33379.448100000001</v>
      </c>
      <c r="G903" s="31">
        <f>G904</f>
        <v>29008.5</v>
      </c>
      <c r="H903" s="31">
        <f>H904</f>
        <v>29008.5</v>
      </c>
    </row>
    <row r="904" spans="1:8" s="14" customFormat="1" ht="15" x14ac:dyDescent="0.2">
      <c r="A904" s="77" t="s">
        <v>172</v>
      </c>
      <c r="B904" s="74" t="s">
        <v>194</v>
      </c>
      <c r="C904" s="74" t="s">
        <v>173</v>
      </c>
      <c r="D904" s="74"/>
      <c r="E904" s="74"/>
      <c r="F904" s="31">
        <f>F905+F907</f>
        <v>33379.448100000001</v>
      </c>
      <c r="G904" s="31">
        <f>G905+G907</f>
        <v>29008.5</v>
      </c>
      <c r="H904" s="31">
        <f>H905+H907</f>
        <v>29008.5</v>
      </c>
    </row>
    <row r="905" spans="1:8" s="14" customFormat="1" ht="15" x14ac:dyDescent="0.2">
      <c r="A905" s="81" t="s">
        <v>815</v>
      </c>
      <c r="B905" s="12" t="s">
        <v>194</v>
      </c>
      <c r="C905" s="12" t="s">
        <v>173</v>
      </c>
      <c r="D905" s="12" t="s">
        <v>177</v>
      </c>
      <c r="E905" s="12" t="s">
        <v>196</v>
      </c>
      <c r="F905" s="37">
        <f>F906</f>
        <v>30175.887000000002</v>
      </c>
      <c r="G905" s="37">
        <f>G906</f>
        <v>26683</v>
      </c>
      <c r="H905" s="37">
        <f>H906</f>
        <v>26683</v>
      </c>
    </row>
    <row r="906" spans="1:8" s="14" customFormat="1" ht="15" x14ac:dyDescent="0.2">
      <c r="A906" s="81" t="s">
        <v>197</v>
      </c>
      <c r="B906" s="12" t="s">
        <v>194</v>
      </c>
      <c r="C906" s="12" t="s">
        <v>173</v>
      </c>
      <c r="D906" s="12" t="s">
        <v>177</v>
      </c>
      <c r="E906" s="12" t="s">
        <v>198</v>
      </c>
      <c r="F906" s="98">
        <f>19630.5+1652.7+2263.1+530.3+1626.4+980+995+354+500-400+59.291+91.971+1150+142.625+600</f>
        <v>30175.887000000002</v>
      </c>
      <c r="G906" s="98">
        <f t="shared" ref="G906:H906" si="176">19630.5+1652.7+2263.1+530.3+1626.4+980</f>
        <v>26683</v>
      </c>
      <c r="H906" s="98">
        <f t="shared" si="176"/>
        <v>26683</v>
      </c>
    </row>
    <row r="907" spans="1:8" s="14" customFormat="1" ht="15" x14ac:dyDescent="0.2">
      <c r="A907" s="81" t="s">
        <v>199</v>
      </c>
      <c r="B907" s="12" t="s">
        <v>194</v>
      </c>
      <c r="C907" s="12" t="s">
        <v>173</v>
      </c>
      <c r="D907" s="12" t="s">
        <v>177</v>
      </c>
      <c r="E907" s="12" t="s">
        <v>200</v>
      </c>
      <c r="F907" s="98">
        <f>F908</f>
        <v>3203.5610999999999</v>
      </c>
      <c r="G907" s="98">
        <f t="shared" ref="G907:H907" si="177">G908</f>
        <v>2325.5</v>
      </c>
      <c r="H907" s="98">
        <f t="shared" si="177"/>
        <v>2325.5</v>
      </c>
    </row>
    <row r="908" spans="1:8" s="14" customFormat="1" ht="15" x14ac:dyDescent="0.2">
      <c r="A908" s="81" t="s">
        <v>201</v>
      </c>
      <c r="B908" s="12" t="s">
        <v>194</v>
      </c>
      <c r="C908" s="12" t="s">
        <v>173</v>
      </c>
      <c r="D908" s="12" t="s">
        <v>177</v>
      </c>
      <c r="E908" s="12" t="s">
        <v>202</v>
      </c>
      <c r="F908" s="98">
        <f>2325.5+5-2+875.0611</f>
        <v>3203.5610999999999</v>
      </c>
      <c r="G908" s="98">
        <v>2325.5</v>
      </c>
      <c r="H908" s="98">
        <v>2325.5</v>
      </c>
    </row>
    <row r="909" spans="1:8" s="14" customFormat="1" ht="15" x14ac:dyDescent="0.2">
      <c r="A909" s="85" t="s">
        <v>816</v>
      </c>
      <c r="B909" s="79" t="s">
        <v>189</v>
      </c>
      <c r="C909" s="79"/>
      <c r="D909" s="79"/>
      <c r="E909" s="79"/>
      <c r="F909" s="104">
        <f>F910</f>
        <v>10267.698</v>
      </c>
      <c r="G909" s="104">
        <f>G910</f>
        <v>8334.2000000000007</v>
      </c>
      <c r="H909" s="104">
        <f>H910</f>
        <v>8334.2000000000007</v>
      </c>
    </row>
    <row r="910" spans="1:8" s="14" customFormat="1" ht="15" x14ac:dyDescent="0.2">
      <c r="A910" s="77" t="s">
        <v>183</v>
      </c>
      <c r="B910" s="74" t="s">
        <v>190</v>
      </c>
      <c r="C910" s="74"/>
      <c r="D910" s="74"/>
      <c r="E910" s="74"/>
      <c r="F910" s="31">
        <f>F911+F915</f>
        <v>10267.698</v>
      </c>
      <c r="G910" s="31">
        <f>G911+G915</f>
        <v>8334.2000000000007</v>
      </c>
      <c r="H910" s="31">
        <f>H911+H915</f>
        <v>8334.2000000000007</v>
      </c>
    </row>
    <row r="911" spans="1:8" s="14" customFormat="1" ht="15" x14ac:dyDescent="0.2">
      <c r="A911" s="77" t="s">
        <v>367</v>
      </c>
      <c r="B911" s="74" t="s">
        <v>192</v>
      </c>
      <c r="C911" s="74" t="s">
        <v>206</v>
      </c>
      <c r="D911" s="74"/>
      <c r="E911" s="74"/>
      <c r="F911" s="31">
        <f t="shared" ref="F911:H913" si="178">F912</f>
        <v>9587.6980000000003</v>
      </c>
      <c r="G911" s="31">
        <f t="shared" si="178"/>
        <v>7404.2</v>
      </c>
      <c r="H911" s="31">
        <f t="shared" si="178"/>
        <v>7404.2</v>
      </c>
    </row>
    <row r="912" spans="1:8" s="14" customFormat="1" ht="15" x14ac:dyDescent="0.2">
      <c r="A912" s="95" t="s">
        <v>539</v>
      </c>
      <c r="B912" s="74" t="s">
        <v>192</v>
      </c>
      <c r="C912" s="74" t="s">
        <v>206</v>
      </c>
      <c r="D912" s="74" t="s">
        <v>206</v>
      </c>
      <c r="E912" s="74"/>
      <c r="F912" s="31">
        <f t="shared" si="178"/>
        <v>9587.6980000000003</v>
      </c>
      <c r="G912" s="31">
        <f t="shared" si="178"/>
        <v>7404.2</v>
      </c>
      <c r="H912" s="31">
        <f t="shared" si="178"/>
        <v>7404.2</v>
      </c>
    </row>
    <row r="913" spans="1:8" s="14" customFormat="1" ht="36" x14ac:dyDescent="0.2">
      <c r="A913" s="81" t="s">
        <v>185</v>
      </c>
      <c r="B913" s="12" t="s">
        <v>192</v>
      </c>
      <c r="C913" s="12" t="s">
        <v>206</v>
      </c>
      <c r="D913" s="12" t="s">
        <v>206</v>
      </c>
      <c r="E913" s="12" t="s">
        <v>186</v>
      </c>
      <c r="F913" s="37">
        <f t="shared" si="178"/>
        <v>9587.6980000000003</v>
      </c>
      <c r="G913" s="37">
        <f t="shared" si="178"/>
        <v>7404.2</v>
      </c>
      <c r="H913" s="37">
        <f t="shared" si="178"/>
        <v>7404.2</v>
      </c>
    </row>
    <row r="914" spans="1:8" s="14" customFormat="1" ht="15" x14ac:dyDescent="0.2">
      <c r="A914" s="81" t="s">
        <v>187</v>
      </c>
      <c r="B914" s="12" t="s">
        <v>192</v>
      </c>
      <c r="C914" s="12" t="s">
        <v>206</v>
      </c>
      <c r="D914" s="12" t="s">
        <v>206</v>
      </c>
      <c r="E914" s="12" t="s">
        <v>188</v>
      </c>
      <c r="F914" s="98">
        <f>5560+50+1694.2+50+50+2183.498</f>
        <v>9587.6980000000003</v>
      </c>
      <c r="G914" s="98">
        <f t="shared" ref="G914:H914" si="179">5560+50+1694.2+50+50</f>
        <v>7404.2</v>
      </c>
      <c r="H914" s="98">
        <f t="shared" si="179"/>
        <v>7404.2</v>
      </c>
    </row>
    <row r="915" spans="1:8" s="14" customFormat="1" ht="15" x14ac:dyDescent="0.2">
      <c r="A915" s="77" t="s">
        <v>193</v>
      </c>
      <c r="B915" s="74" t="s">
        <v>190</v>
      </c>
      <c r="C915" s="74"/>
      <c r="D915" s="74"/>
      <c r="E915" s="74"/>
      <c r="F915" s="31">
        <f t="shared" ref="F915:H916" si="180">F916</f>
        <v>680</v>
      </c>
      <c r="G915" s="31">
        <f t="shared" si="180"/>
        <v>930</v>
      </c>
      <c r="H915" s="31">
        <f t="shared" si="180"/>
        <v>930</v>
      </c>
    </row>
    <row r="916" spans="1:8" s="14" customFormat="1" ht="15" x14ac:dyDescent="0.2">
      <c r="A916" s="77" t="s">
        <v>367</v>
      </c>
      <c r="B916" s="74" t="s">
        <v>194</v>
      </c>
      <c r="C916" s="74" t="s">
        <v>206</v>
      </c>
      <c r="D916" s="74"/>
      <c r="E916" s="74"/>
      <c r="F916" s="31">
        <f t="shared" si="180"/>
        <v>680</v>
      </c>
      <c r="G916" s="31">
        <f t="shared" si="180"/>
        <v>930</v>
      </c>
      <c r="H916" s="31">
        <f t="shared" si="180"/>
        <v>930</v>
      </c>
    </row>
    <row r="917" spans="1:8" s="14" customFormat="1" ht="15" x14ac:dyDescent="0.2">
      <c r="A917" s="95" t="s">
        <v>539</v>
      </c>
      <c r="B917" s="12" t="s">
        <v>194</v>
      </c>
      <c r="C917" s="74" t="s">
        <v>206</v>
      </c>
      <c r="D917" s="74" t="s">
        <v>206</v>
      </c>
      <c r="E917" s="74"/>
      <c r="F917" s="31">
        <f>F918+F920</f>
        <v>680</v>
      </c>
      <c r="G917" s="31">
        <f>G918+G920</f>
        <v>930</v>
      </c>
      <c r="H917" s="31">
        <f>H918+H920</f>
        <v>930</v>
      </c>
    </row>
    <row r="918" spans="1:8" s="14" customFormat="1" ht="15" x14ac:dyDescent="0.2">
      <c r="A918" s="81" t="s">
        <v>815</v>
      </c>
      <c r="B918" s="12" t="s">
        <v>194</v>
      </c>
      <c r="C918" s="12" t="s">
        <v>206</v>
      </c>
      <c r="D918" s="12" t="s">
        <v>206</v>
      </c>
      <c r="E918" s="12" t="s">
        <v>196</v>
      </c>
      <c r="F918" s="37">
        <f>F919</f>
        <v>470</v>
      </c>
      <c r="G918" s="37">
        <f>G919</f>
        <v>770</v>
      </c>
      <c r="H918" s="37">
        <f>H919</f>
        <v>770</v>
      </c>
    </row>
    <row r="919" spans="1:8" s="14" customFormat="1" ht="15" x14ac:dyDescent="0.2">
      <c r="A919" s="81" t="s">
        <v>197</v>
      </c>
      <c r="B919" s="12" t="s">
        <v>194</v>
      </c>
      <c r="C919" s="12" t="s">
        <v>206</v>
      </c>
      <c r="D919" s="12" t="s">
        <v>206</v>
      </c>
      <c r="E919" s="12" t="s">
        <v>198</v>
      </c>
      <c r="F919" s="98">
        <v>470</v>
      </c>
      <c r="G919" s="98">
        <v>770</v>
      </c>
      <c r="H919" s="98">
        <v>770</v>
      </c>
    </row>
    <row r="920" spans="1:8" s="14" customFormat="1" ht="15" x14ac:dyDescent="0.2">
      <c r="A920" s="81" t="s">
        <v>199</v>
      </c>
      <c r="B920" s="12" t="s">
        <v>194</v>
      </c>
      <c r="C920" s="12" t="s">
        <v>206</v>
      </c>
      <c r="D920" s="12" t="s">
        <v>206</v>
      </c>
      <c r="E920" s="12" t="s">
        <v>200</v>
      </c>
      <c r="F920" s="98">
        <f>F921</f>
        <v>210</v>
      </c>
      <c r="G920" s="98">
        <f t="shared" ref="G920:H920" si="181">G921</f>
        <v>160</v>
      </c>
      <c r="H920" s="98">
        <f t="shared" si="181"/>
        <v>160</v>
      </c>
    </row>
    <row r="921" spans="1:8" s="14" customFormat="1" ht="15" x14ac:dyDescent="0.2">
      <c r="A921" s="81" t="s">
        <v>201</v>
      </c>
      <c r="B921" s="12" t="s">
        <v>194</v>
      </c>
      <c r="C921" s="12" t="s">
        <v>206</v>
      </c>
      <c r="D921" s="12" t="s">
        <v>206</v>
      </c>
      <c r="E921" s="12" t="s">
        <v>202</v>
      </c>
      <c r="F921" s="98">
        <f>110+100</f>
        <v>210</v>
      </c>
      <c r="G921" s="98">
        <v>160</v>
      </c>
      <c r="H921" s="98">
        <v>160</v>
      </c>
    </row>
    <row r="922" spans="1:8" s="14" customFormat="1" ht="15" x14ac:dyDescent="0.2">
      <c r="A922" s="103" t="s">
        <v>180</v>
      </c>
      <c r="B922" s="102"/>
      <c r="C922" s="102"/>
      <c r="D922" s="102"/>
      <c r="E922" s="102"/>
      <c r="F922" s="101">
        <f>F923+F938+F947+F962+F967+F972+F977+F986+F991+F996+F1001+F1008+F1013+F1018+F956+F1023+F1028+F1034+F1039+F1045+F1051+F1056+F1061+F1066+F1077+F1088+F1093+F1098+F1127</f>
        <v>340568.28398999997</v>
      </c>
      <c r="G922" s="101">
        <f>G923+G938+G947+G962+G967+G972+G977+G986+G991+G996+G1001+G1008+G1013+G1018+G956+G1023+G1028+G1034+G1039+G1045+G1051+G1056+G1061+G1066+G1077+G1088+G1093+G1098+G1127</f>
        <v>195914.00000000003</v>
      </c>
      <c r="H922" s="101">
        <f>H923+H938+H947+H962+H967+H972+H977+H986+H991+H996+H1001+H1008+H1013+H1018+H956+H1023+H1028+H1034+H1039+H1045+H1051+H1056+H1061+H1066+H1077+H1088+H1093+H1098+H1127</f>
        <v>178849.3431</v>
      </c>
    </row>
    <row r="923" spans="1:8" s="14" customFormat="1" ht="15" x14ac:dyDescent="0.2">
      <c r="A923" s="85" t="s">
        <v>211</v>
      </c>
      <c r="B923" s="79" t="s">
        <v>190</v>
      </c>
      <c r="C923" s="79"/>
      <c r="D923" s="79"/>
      <c r="E923" s="79"/>
      <c r="F923" s="78">
        <f>F924+F933+F928</f>
        <v>10700</v>
      </c>
      <c r="G923" s="78">
        <f>G924+G933+G928</f>
        <v>3000</v>
      </c>
      <c r="H923" s="78">
        <f>H924+H933+H928</f>
        <v>3000</v>
      </c>
    </row>
    <row r="924" spans="1:8" s="14" customFormat="1" ht="15" x14ac:dyDescent="0.2">
      <c r="A924" s="77" t="s">
        <v>172</v>
      </c>
      <c r="B924" s="74" t="s">
        <v>212</v>
      </c>
      <c r="C924" s="74" t="s">
        <v>173</v>
      </c>
      <c r="D924" s="74"/>
      <c r="E924" s="74"/>
      <c r="F924" s="100">
        <f t="shared" ref="F924:H926" si="182">F925</f>
        <v>3750</v>
      </c>
      <c r="G924" s="100">
        <f t="shared" si="182"/>
        <v>3000</v>
      </c>
      <c r="H924" s="100">
        <f t="shared" si="182"/>
        <v>3000</v>
      </c>
    </row>
    <row r="925" spans="1:8" s="14" customFormat="1" ht="15" x14ac:dyDescent="0.2">
      <c r="A925" s="77" t="s">
        <v>209</v>
      </c>
      <c r="B925" s="74" t="s">
        <v>212</v>
      </c>
      <c r="C925" s="74" t="s">
        <v>173</v>
      </c>
      <c r="D925" s="74" t="s">
        <v>210</v>
      </c>
      <c r="E925" s="12"/>
      <c r="F925" s="100">
        <f t="shared" si="182"/>
        <v>3750</v>
      </c>
      <c r="G925" s="100">
        <f t="shared" si="182"/>
        <v>3000</v>
      </c>
      <c r="H925" s="100">
        <f t="shared" si="182"/>
        <v>3000</v>
      </c>
    </row>
    <row r="926" spans="1:8" s="14" customFormat="1" ht="15" x14ac:dyDescent="0.2">
      <c r="A926" s="81" t="s">
        <v>199</v>
      </c>
      <c r="B926" s="12" t="s">
        <v>212</v>
      </c>
      <c r="C926" s="12" t="s">
        <v>173</v>
      </c>
      <c r="D926" s="12" t="s">
        <v>210</v>
      </c>
      <c r="E926" s="12" t="s">
        <v>200</v>
      </c>
      <c r="F926" s="98">
        <f t="shared" si="182"/>
        <v>3750</v>
      </c>
      <c r="G926" s="98">
        <f t="shared" si="182"/>
        <v>3000</v>
      </c>
      <c r="H926" s="98">
        <f t="shared" si="182"/>
        <v>3000</v>
      </c>
    </row>
    <row r="927" spans="1:8" s="14" customFormat="1" ht="15" x14ac:dyDescent="0.2">
      <c r="A927" s="81" t="s">
        <v>213</v>
      </c>
      <c r="B927" s="12" t="s">
        <v>212</v>
      </c>
      <c r="C927" s="12" t="s">
        <v>173</v>
      </c>
      <c r="D927" s="12" t="s">
        <v>210</v>
      </c>
      <c r="E927" s="12" t="s">
        <v>214</v>
      </c>
      <c r="F927" s="98">
        <f>10700-150-1100-5600-100</f>
        <v>3750</v>
      </c>
      <c r="G927" s="98">
        <v>3000</v>
      </c>
      <c r="H927" s="98">
        <v>3000</v>
      </c>
    </row>
    <row r="928" spans="1:8" s="14" customFormat="1" ht="15" x14ac:dyDescent="0.2">
      <c r="A928" s="29" t="s">
        <v>367</v>
      </c>
      <c r="B928" s="74" t="s">
        <v>212</v>
      </c>
      <c r="C928" s="74" t="s">
        <v>206</v>
      </c>
      <c r="D928" s="74"/>
      <c r="E928" s="74"/>
      <c r="F928" s="127">
        <f t="shared" ref="F928:G931" si="183">F929</f>
        <v>5600</v>
      </c>
      <c r="G928" s="127">
        <f t="shared" si="183"/>
        <v>0</v>
      </c>
      <c r="H928" s="127">
        <f>H929</f>
        <v>0</v>
      </c>
    </row>
    <row r="929" spans="1:8" s="14" customFormat="1" ht="15" x14ac:dyDescent="0.2">
      <c r="A929" s="29" t="s">
        <v>368</v>
      </c>
      <c r="B929" s="74" t="s">
        <v>212</v>
      </c>
      <c r="C929" s="74" t="s">
        <v>206</v>
      </c>
      <c r="D929" s="74" t="s">
        <v>283</v>
      </c>
      <c r="E929" s="74"/>
      <c r="F929" s="127">
        <f t="shared" si="183"/>
        <v>5600</v>
      </c>
      <c r="G929" s="127">
        <f t="shared" si="183"/>
        <v>0</v>
      </c>
      <c r="H929" s="127">
        <f>H930</f>
        <v>0</v>
      </c>
    </row>
    <row r="930" spans="1:8" s="14" customFormat="1" ht="15" x14ac:dyDescent="0.2">
      <c r="A930" s="77" t="s">
        <v>209</v>
      </c>
      <c r="B930" s="74" t="s">
        <v>212</v>
      </c>
      <c r="C930" s="74" t="s">
        <v>206</v>
      </c>
      <c r="D930" s="74" t="s">
        <v>283</v>
      </c>
      <c r="E930" s="74"/>
      <c r="F930" s="127">
        <f t="shared" si="183"/>
        <v>5600</v>
      </c>
      <c r="G930" s="127">
        <f t="shared" si="183"/>
        <v>0</v>
      </c>
      <c r="H930" s="127">
        <f>H931</f>
        <v>0</v>
      </c>
    </row>
    <row r="931" spans="1:8" s="14" customFormat="1" ht="15" x14ac:dyDescent="0.2">
      <c r="A931" s="35" t="s">
        <v>356</v>
      </c>
      <c r="B931" s="12" t="s">
        <v>212</v>
      </c>
      <c r="C931" s="12" t="s">
        <v>206</v>
      </c>
      <c r="D931" s="12" t="s">
        <v>283</v>
      </c>
      <c r="E931" s="12" t="s">
        <v>357</v>
      </c>
      <c r="F931" s="115">
        <f t="shared" si="183"/>
        <v>5600</v>
      </c>
      <c r="G931" s="115">
        <f t="shared" si="183"/>
        <v>0</v>
      </c>
      <c r="H931" s="115">
        <f>H932</f>
        <v>0</v>
      </c>
    </row>
    <row r="932" spans="1:8" s="14" customFormat="1" ht="15" x14ac:dyDescent="0.2">
      <c r="A932" s="35" t="s">
        <v>358</v>
      </c>
      <c r="B932" s="12" t="s">
        <v>212</v>
      </c>
      <c r="C932" s="12" t="s">
        <v>206</v>
      </c>
      <c r="D932" s="12" t="s">
        <v>283</v>
      </c>
      <c r="E932" s="12" t="s">
        <v>359</v>
      </c>
      <c r="F932" s="115">
        <v>5600</v>
      </c>
      <c r="G932" s="115">
        <v>0</v>
      </c>
      <c r="H932" s="115">
        <v>0</v>
      </c>
    </row>
    <row r="933" spans="1:8" s="14" customFormat="1" ht="15" x14ac:dyDescent="0.2">
      <c r="A933" s="77" t="s">
        <v>321</v>
      </c>
      <c r="B933" s="74" t="s">
        <v>212</v>
      </c>
      <c r="C933" s="74" t="s">
        <v>284</v>
      </c>
      <c r="D933" s="74"/>
      <c r="E933" s="74"/>
      <c r="F933" s="45">
        <f t="shared" ref="F933:H936" si="184">F934</f>
        <v>1350</v>
      </c>
      <c r="G933" s="45">
        <f t="shared" si="184"/>
        <v>0</v>
      </c>
      <c r="H933" s="45">
        <f t="shared" si="184"/>
        <v>0</v>
      </c>
    </row>
    <row r="934" spans="1:8" s="14" customFormat="1" ht="15" x14ac:dyDescent="0.2">
      <c r="A934" s="77" t="s">
        <v>329</v>
      </c>
      <c r="B934" s="74" t="s">
        <v>212</v>
      </c>
      <c r="C934" s="74" t="s">
        <v>284</v>
      </c>
      <c r="D934" s="74" t="s">
        <v>283</v>
      </c>
      <c r="E934" s="74"/>
      <c r="F934" s="127">
        <f t="shared" si="184"/>
        <v>1350</v>
      </c>
      <c r="G934" s="127">
        <f t="shared" si="184"/>
        <v>0</v>
      </c>
      <c r="H934" s="127">
        <f t="shared" si="184"/>
        <v>0</v>
      </c>
    </row>
    <row r="935" spans="1:8" s="14" customFormat="1" ht="15" x14ac:dyDescent="0.2">
      <c r="A935" s="77" t="s">
        <v>209</v>
      </c>
      <c r="B935" s="74" t="s">
        <v>212</v>
      </c>
      <c r="C935" s="74" t="s">
        <v>284</v>
      </c>
      <c r="D935" s="74" t="s">
        <v>283</v>
      </c>
      <c r="E935" s="74"/>
      <c r="F935" s="127">
        <f t="shared" si="184"/>
        <v>1350</v>
      </c>
      <c r="G935" s="127">
        <f t="shared" si="184"/>
        <v>0</v>
      </c>
      <c r="H935" s="127">
        <f t="shared" si="184"/>
        <v>0</v>
      </c>
    </row>
    <row r="936" spans="1:8" s="14" customFormat="1" ht="15" x14ac:dyDescent="0.2">
      <c r="A936" s="35" t="s">
        <v>325</v>
      </c>
      <c r="B936" s="12" t="s">
        <v>212</v>
      </c>
      <c r="C936" s="36" t="s">
        <v>284</v>
      </c>
      <c r="D936" s="36" t="s">
        <v>283</v>
      </c>
      <c r="E936" s="36" t="s">
        <v>326</v>
      </c>
      <c r="F936" s="115">
        <f t="shared" si="184"/>
        <v>1350</v>
      </c>
      <c r="G936" s="115">
        <f t="shared" si="184"/>
        <v>0</v>
      </c>
      <c r="H936" s="115">
        <f t="shared" si="184"/>
        <v>0</v>
      </c>
    </row>
    <row r="937" spans="1:8" s="14" customFormat="1" ht="15" x14ac:dyDescent="0.2">
      <c r="A937" s="35" t="s">
        <v>336</v>
      </c>
      <c r="B937" s="12" t="s">
        <v>212</v>
      </c>
      <c r="C937" s="36" t="s">
        <v>284</v>
      </c>
      <c r="D937" s="36" t="s">
        <v>283</v>
      </c>
      <c r="E937" s="36" t="s">
        <v>337</v>
      </c>
      <c r="F937" s="46">
        <f>150+1100+100</f>
        <v>1350</v>
      </c>
      <c r="G937" s="46">
        <v>0</v>
      </c>
      <c r="H937" s="46">
        <v>0</v>
      </c>
    </row>
    <row r="938" spans="1:8" s="14" customFormat="1" ht="27" x14ac:dyDescent="0.2">
      <c r="A938" s="85" t="s">
        <v>817</v>
      </c>
      <c r="B938" s="79" t="s">
        <v>190</v>
      </c>
      <c r="C938" s="79"/>
      <c r="D938" s="79"/>
      <c r="E938" s="79"/>
      <c r="F938" s="78">
        <f t="shared" ref="F938:H939" si="185">F939</f>
        <v>91244.578000000009</v>
      </c>
      <c r="G938" s="78">
        <f t="shared" si="185"/>
        <v>73071.8</v>
      </c>
      <c r="H938" s="78">
        <f t="shared" si="185"/>
        <v>88071.8</v>
      </c>
    </row>
    <row r="939" spans="1:8" s="14" customFormat="1" ht="15" x14ac:dyDescent="0.2">
      <c r="A939" s="77" t="s">
        <v>172</v>
      </c>
      <c r="B939" s="74" t="s">
        <v>265</v>
      </c>
      <c r="C939" s="76" t="s">
        <v>173</v>
      </c>
      <c r="D939" s="76"/>
      <c r="E939" s="76"/>
      <c r="F939" s="99">
        <f t="shared" si="185"/>
        <v>91244.578000000009</v>
      </c>
      <c r="G939" s="99">
        <f t="shared" si="185"/>
        <v>73071.8</v>
      </c>
      <c r="H939" s="99">
        <f t="shared" si="185"/>
        <v>88071.8</v>
      </c>
    </row>
    <row r="940" spans="1:8" s="14" customFormat="1" ht="15" x14ac:dyDescent="0.2">
      <c r="A940" s="77" t="s">
        <v>818</v>
      </c>
      <c r="B940" s="74" t="s">
        <v>265</v>
      </c>
      <c r="C940" s="76" t="s">
        <v>173</v>
      </c>
      <c r="D940" s="76" t="s">
        <v>216</v>
      </c>
      <c r="E940" s="76"/>
      <c r="F940" s="99">
        <f>F941+F943+F945</f>
        <v>91244.578000000009</v>
      </c>
      <c r="G940" s="99">
        <f>G941+G943+G945</f>
        <v>73071.8</v>
      </c>
      <c r="H940" s="99">
        <f>H941+H943+H945</f>
        <v>88071.8</v>
      </c>
    </row>
    <row r="941" spans="1:8" s="14" customFormat="1" ht="36" x14ac:dyDescent="0.2">
      <c r="A941" s="81" t="s">
        <v>185</v>
      </c>
      <c r="B941" s="12" t="s">
        <v>265</v>
      </c>
      <c r="C941" s="12" t="s">
        <v>173</v>
      </c>
      <c r="D941" s="12" t="s">
        <v>216</v>
      </c>
      <c r="E941" s="12" t="s">
        <v>186</v>
      </c>
      <c r="F941" s="98">
        <f>F942</f>
        <v>47624.578000000001</v>
      </c>
      <c r="G941" s="98">
        <f>G942</f>
        <v>44851.8</v>
      </c>
      <c r="H941" s="98">
        <f>H942</f>
        <v>44851.8</v>
      </c>
    </row>
    <row r="942" spans="1:8" s="14" customFormat="1" ht="15" x14ac:dyDescent="0.2">
      <c r="A942" s="81" t="s">
        <v>266</v>
      </c>
      <c r="B942" s="12" t="s">
        <v>265</v>
      </c>
      <c r="C942" s="12" t="s">
        <v>173</v>
      </c>
      <c r="D942" s="12" t="s">
        <v>216</v>
      </c>
      <c r="E942" s="12" t="s">
        <v>267</v>
      </c>
      <c r="F942" s="98">
        <f>34348.4+100+10403.4+2772.778</f>
        <v>47624.578000000001</v>
      </c>
      <c r="G942" s="98">
        <f t="shared" ref="G942:H942" si="186">34348.4+100+10403.4</f>
        <v>44851.8</v>
      </c>
      <c r="H942" s="98">
        <f t="shared" si="186"/>
        <v>44851.8</v>
      </c>
    </row>
    <row r="943" spans="1:8" s="14" customFormat="1" ht="15" x14ac:dyDescent="0.2">
      <c r="A943" s="81" t="s">
        <v>815</v>
      </c>
      <c r="B943" s="12" t="s">
        <v>265</v>
      </c>
      <c r="C943" s="12" t="s">
        <v>173</v>
      </c>
      <c r="D943" s="12" t="s">
        <v>216</v>
      </c>
      <c r="E943" s="12" t="s">
        <v>196</v>
      </c>
      <c r="F943" s="98">
        <f>F944</f>
        <v>43370</v>
      </c>
      <c r="G943" s="98">
        <f t="shared" ref="G943:H943" si="187">G944</f>
        <v>27970</v>
      </c>
      <c r="H943" s="98">
        <f t="shared" si="187"/>
        <v>42970</v>
      </c>
    </row>
    <row r="944" spans="1:8" s="14" customFormat="1" ht="15" x14ac:dyDescent="0.2">
      <c r="A944" s="81" t="s">
        <v>197</v>
      </c>
      <c r="B944" s="12" t="s">
        <v>265</v>
      </c>
      <c r="C944" s="12" t="s">
        <v>173</v>
      </c>
      <c r="D944" s="12" t="s">
        <v>216</v>
      </c>
      <c r="E944" s="12" t="s">
        <v>198</v>
      </c>
      <c r="F944" s="98">
        <f>150+5000+11545+400+16725+5000+4150+400</f>
        <v>43370</v>
      </c>
      <c r="G944" s="98">
        <f>150+5000+11545+400+16725+5000+4150-15000</f>
        <v>27970</v>
      </c>
      <c r="H944" s="98">
        <f>150+5000+11545+400+16725+5000+4150</f>
        <v>42970</v>
      </c>
    </row>
    <row r="945" spans="1:8" s="14" customFormat="1" ht="15" x14ac:dyDescent="0.2">
      <c r="A945" s="81" t="s">
        <v>199</v>
      </c>
      <c r="B945" s="12" t="s">
        <v>265</v>
      </c>
      <c r="C945" s="12" t="s">
        <v>173</v>
      </c>
      <c r="D945" s="12" t="s">
        <v>216</v>
      </c>
      <c r="E945" s="12" t="s">
        <v>200</v>
      </c>
      <c r="F945" s="98">
        <f>F946</f>
        <v>250</v>
      </c>
      <c r="G945" s="98">
        <f t="shared" ref="G945:H945" si="188">G946</f>
        <v>250</v>
      </c>
      <c r="H945" s="98">
        <f t="shared" si="188"/>
        <v>250</v>
      </c>
    </row>
    <row r="946" spans="1:8" s="14" customFormat="1" ht="15" x14ac:dyDescent="0.2">
      <c r="A946" s="81" t="s">
        <v>201</v>
      </c>
      <c r="B946" s="12" t="s">
        <v>265</v>
      </c>
      <c r="C946" s="12" t="s">
        <v>173</v>
      </c>
      <c r="D946" s="12" t="s">
        <v>216</v>
      </c>
      <c r="E946" s="12" t="s">
        <v>202</v>
      </c>
      <c r="F946" s="98">
        <v>250</v>
      </c>
      <c r="G946" s="98">
        <v>250</v>
      </c>
      <c r="H946" s="98">
        <v>250</v>
      </c>
    </row>
    <row r="947" spans="1:8" s="14" customFormat="1" ht="15" x14ac:dyDescent="0.2">
      <c r="A947" s="85" t="s">
        <v>819</v>
      </c>
      <c r="B947" s="79" t="s">
        <v>190</v>
      </c>
      <c r="C947" s="79"/>
      <c r="D947" s="79"/>
      <c r="E947" s="79"/>
      <c r="F947" s="86">
        <f t="shared" ref="F947:H948" si="189">F948</f>
        <v>11880.261</v>
      </c>
      <c r="G947" s="86">
        <f t="shared" si="189"/>
        <v>10041.4</v>
      </c>
      <c r="H947" s="86">
        <f t="shared" si="189"/>
        <v>10041.4</v>
      </c>
    </row>
    <row r="948" spans="1:8" s="14" customFormat="1" ht="15" x14ac:dyDescent="0.2">
      <c r="A948" s="77" t="s">
        <v>172</v>
      </c>
      <c r="B948" s="74" t="s">
        <v>269</v>
      </c>
      <c r="C948" s="76" t="s">
        <v>173</v>
      </c>
      <c r="D948" s="76"/>
      <c r="E948" s="76"/>
      <c r="F948" s="45">
        <f t="shared" si="189"/>
        <v>11880.261</v>
      </c>
      <c r="G948" s="45">
        <f t="shared" si="189"/>
        <v>10041.4</v>
      </c>
      <c r="H948" s="45">
        <f t="shared" si="189"/>
        <v>10041.4</v>
      </c>
    </row>
    <row r="949" spans="1:8" s="14" customFormat="1" ht="15" x14ac:dyDescent="0.2">
      <c r="A949" s="77" t="s">
        <v>818</v>
      </c>
      <c r="B949" s="74" t="s">
        <v>269</v>
      </c>
      <c r="C949" s="76" t="s">
        <v>173</v>
      </c>
      <c r="D949" s="76" t="s">
        <v>216</v>
      </c>
      <c r="E949" s="76"/>
      <c r="F949" s="45">
        <f>F950+F952+F954</f>
        <v>11880.261</v>
      </c>
      <c r="G949" s="45">
        <f>G950+G952+G954</f>
        <v>10041.4</v>
      </c>
      <c r="H949" s="45">
        <f>H950+H952+H954</f>
        <v>10041.4</v>
      </c>
    </row>
    <row r="950" spans="1:8" s="14" customFormat="1" ht="36" x14ac:dyDescent="0.2">
      <c r="A950" s="81" t="s">
        <v>185</v>
      </c>
      <c r="B950" s="12" t="s">
        <v>269</v>
      </c>
      <c r="C950" s="12" t="s">
        <v>173</v>
      </c>
      <c r="D950" s="12" t="s">
        <v>216</v>
      </c>
      <c r="E950" s="12" t="s">
        <v>186</v>
      </c>
      <c r="F950" s="46">
        <f>F951</f>
        <v>11140.261</v>
      </c>
      <c r="G950" s="46">
        <f>G951</f>
        <v>9301.4</v>
      </c>
      <c r="H950" s="46">
        <f>H951</f>
        <v>9301.4</v>
      </c>
    </row>
    <row r="951" spans="1:8" s="14" customFormat="1" ht="15" x14ac:dyDescent="0.2">
      <c r="A951" s="81" t="s">
        <v>266</v>
      </c>
      <c r="B951" s="12" t="s">
        <v>269</v>
      </c>
      <c r="C951" s="12" t="s">
        <v>173</v>
      </c>
      <c r="D951" s="12" t="s">
        <v>216</v>
      </c>
      <c r="E951" s="12" t="s">
        <v>267</v>
      </c>
      <c r="F951" s="98">
        <f>6914.9+25.5+2096+30+235+1838.861</f>
        <v>11140.261</v>
      </c>
      <c r="G951" s="98">
        <f t="shared" ref="G951:H951" si="190">6914.9+25.5+2096+30+235</f>
        <v>9301.4</v>
      </c>
      <c r="H951" s="98">
        <f t="shared" si="190"/>
        <v>9301.4</v>
      </c>
    </row>
    <row r="952" spans="1:8" s="14" customFormat="1" ht="15" x14ac:dyDescent="0.2">
      <c r="A952" s="81" t="s">
        <v>815</v>
      </c>
      <c r="B952" s="12" t="s">
        <v>269</v>
      </c>
      <c r="C952" s="12" t="s">
        <v>173</v>
      </c>
      <c r="D952" s="12" t="s">
        <v>216</v>
      </c>
      <c r="E952" s="12" t="s">
        <v>196</v>
      </c>
      <c r="F952" s="98">
        <f>F953</f>
        <v>725</v>
      </c>
      <c r="G952" s="98">
        <f t="shared" ref="G952:H952" si="191">G953</f>
        <v>725</v>
      </c>
      <c r="H952" s="98">
        <f t="shared" si="191"/>
        <v>725</v>
      </c>
    </row>
    <row r="953" spans="1:8" s="14" customFormat="1" ht="15" x14ac:dyDescent="0.2">
      <c r="A953" s="81" t="s">
        <v>197</v>
      </c>
      <c r="B953" s="12" t="s">
        <v>269</v>
      </c>
      <c r="C953" s="12" t="s">
        <v>173</v>
      </c>
      <c r="D953" s="12" t="s">
        <v>216</v>
      </c>
      <c r="E953" s="12" t="s">
        <v>198</v>
      </c>
      <c r="F953" s="98">
        <f>10+60+285+250+120</f>
        <v>725</v>
      </c>
      <c r="G953" s="98">
        <f t="shared" ref="G953:H953" si="192">10+60+285+250+120</f>
        <v>725</v>
      </c>
      <c r="H953" s="98">
        <f t="shared" si="192"/>
        <v>725</v>
      </c>
    </row>
    <row r="954" spans="1:8" s="14" customFormat="1" ht="15" x14ac:dyDescent="0.2">
      <c r="A954" s="81" t="s">
        <v>199</v>
      </c>
      <c r="B954" s="12" t="s">
        <v>269</v>
      </c>
      <c r="C954" s="12" t="s">
        <v>173</v>
      </c>
      <c r="D954" s="12" t="s">
        <v>216</v>
      </c>
      <c r="E954" s="12" t="s">
        <v>200</v>
      </c>
      <c r="F954" s="98">
        <f>F955</f>
        <v>15</v>
      </c>
      <c r="G954" s="98">
        <f t="shared" ref="G954:H954" si="193">G955</f>
        <v>15</v>
      </c>
      <c r="H954" s="98">
        <f t="shared" si="193"/>
        <v>15</v>
      </c>
    </row>
    <row r="955" spans="1:8" s="14" customFormat="1" ht="15" x14ac:dyDescent="0.2">
      <c r="A955" s="81" t="s">
        <v>201</v>
      </c>
      <c r="B955" s="12" t="s">
        <v>269</v>
      </c>
      <c r="C955" s="12" t="s">
        <v>173</v>
      </c>
      <c r="D955" s="12" t="s">
        <v>216</v>
      </c>
      <c r="E955" s="12" t="s">
        <v>202</v>
      </c>
      <c r="F955" s="98">
        <v>15</v>
      </c>
      <c r="G955" s="98">
        <v>15</v>
      </c>
      <c r="H955" s="98">
        <v>15</v>
      </c>
    </row>
    <row r="956" spans="1:8" s="14" customFormat="1" ht="15" x14ac:dyDescent="0.2">
      <c r="A956" s="85" t="s">
        <v>270</v>
      </c>
      <c r="B956" s="79" t="s">
        <v>190</v>
      </c>
      <c r="C956" s="79"/>
      <c r="D956" s="79"/>
      <c r="E956" s="79"/>
      <c r="F956" s="78">
        <f t="shared" ref="F956:H958" si="194">F957</f>
        <v>3691.0459999999998</v>
      </c>
      <c r="G956" s="86">
        <f t="shared" si="194"/>
        <v>0</v>
      </c>
      <c r="H956" s="86">
        <f t="shared" si="194"/>
        <v>0</v>
      </c>
    </row>
    <row r="957" spans="1:8" s="14" customFormat="1" ht="15" x14ac:dyDescent="0.2">
      <c r="A957" s="77" t="s">
        <v>172</v>
      </c>
      <c r="B957" s="74" t="s">
        <v>271</v>
      </c>
      <c r="C957" s="74" t="s">
        <v>173</v>
      </c>
      <c r="D957" s="83"/>
      <c r="E957" s="12"/>
      <c r="F957" s="31">
        <f t="shared" si="194"/>
        <v>3691.0459999999998</v>
      </c>
      <c r="G957" s="45">
        <f t="shared" si="194"/>
        <v>0</v>
      </c>
      <c r="H957" s="45">
        <f t="shared" si="194"/>
        <v>0</v>
      </c>
    </row>
    <row r="958" spans="1:8" s="14" customFormat="1" ht="15" x14ac:dyDescent="0.2">
      <c r="A958" s="77" t="s">
        <v>818</v>
      </c>
      <c r="B958" s="74" t="s">
        <v>271</v>
      </c>
      <c r="C958" s="74" t="s">
        <v>173</v>
      </c>
      <c r="D958" s="74" t="s">
        <v>216</v>
      </c>
      <c r="E958" s="74"/>
      <c r="F958" s="31">
        <f>F959</f>
        <v>3691.0459999999998</v>
      </c>
      <c r="G958" s="45">
        <f t="shared" si="194"/>
        <v>0</v>
      </c>
      <c r="H958" s="45">
        <f t="shared" si="194"/>
        <v>0</v>
      </c>
    </row>
    <row r="959" spans="1:8" s="14" customFormat="1" ht="15" x14ac:dyDescent="0.2">
      <c r="A959" s="81" t="s">
        <v>199</v>
      </c>
      <c r="B959" s="12" t="s">
        <v>271</v>
      </c>
      <c r="C959" s="12" t="s">
        <v>173</v>
      </c>
      <c r="D959" s="12" t="s">
        <v>216</v>
      </c>
      <c r="E959" s="12" t="s">
        <v>200</v>
      </c>
      <c r="F959" s="37">
        <f>F960+F961</f>
        <v>3691.0459999999998</v>
      </c>
      <c r="G959" s="46">
        <f>G960+G961</f>
        <v>0</v>
      </c>
      <c r="H959" s="46">
        <f>H960+H961</f>
        <v>0</v>
      </c>
    </row>
    <row r="960" spans="1:8" s="14" customFormat="1" ht="15" x14ac:dyDescent="0.2">
      <c r="A960" s="81" t="s">
        <v>272</v>
      </c>
      <c r="B960" s="12" t="s">
        <v>271</v>
      </c>
      <c r="C960" s="12" t="s">
        <v>173</v>
      </c>
      <c r="D960" s="12" t="s">
        <v>216</v>
      </c>
      <c r="E960" s="12" t="s">
        <v>273</v>
      </c>
      <c r="F960" s="98">
        <f>5700-2266+2+237.346-282.3</f>
        <v>3391.0459999999998</v>
      </c>
      <c r="G960" s="115">
        <v>0</v>
      </c>
      <c r="H960" s="115">
        <v>0</v>
      </c>
    </row>
    <row r="961" spans="1:8" s="14" customFormat="1" ht="15" x14ac:dyDescent="0.2">
      <c r="A961" s="81" t="s">
        <v>820</v>
      </c>
      <c r="B961" s="12" t="s">
        <v>271</v>
      </c>
      <c r="C961" s="12" t="s">
        <v>173</v>
      </c>
      <c r="D961" s="12" t="s">
        <v>216</v>
      </c>
      <c r="E961" s="12" t="s">
        <v>202</v>
      </c>
      <c r="F961" s="98">
        <v>300</v>
      </c>
      <c r="G961" s="115">
        <v>0</v>
      </c>
      <c r="H961" s="115">
        <v>0</v>
      </c>
    </row>
    <row r="962" spans="1:8" s="14" customFormat="1" ht="27" x14ac:dyDescent="0.2">
      <c r="A962" s="80" t="s">
        <v>274</v>
      </c>
      <c r="B962" s="79" t="s">
        <v>190</v>
      </c>
      <c r="C962" s="79"/>
      <c r="D962" s="79"/>
      <c r="E962" s="79"/>
      <c r="F962" s="86">
        <f t="shared" ref="F962:H965" si="195">F963</f>
        <v>568.4686899999997</v>
      </c>
      <c r="G962" s="86">
        <f t="shared" si="195"/>
        <v>0</v>
      </c>
      <c r="H962" s="86">
        <f t="shared" si="195"/>
        <v>0</v>
      </c>
    </row>
    <row r="963" spans="1:8" s="14" customFormat="1" ht="15" x14ac:dyDescent="0.2">
      <c r="A963" s="77" t="s">
        <v>172</v>
      </c>
      <c r="B963" s="74" t="s">
        <v>275</v>
      </c>
      <c r="C963" s="74" t="s">
        <v>173</v>
      </c>
      <c r="D963" s="83"/>
      <c r="E963" s="74"/>
      <c r="F963" s="45">
        <f t="shared" si="195"/>
        <v>568.4686899999997</v>
      </c>
      <c r="G963" s="45">
        <f t="shared" si="195"/>
        <v>0</v>
      </c>
      <c r="H963" s="45">
        <f t="shared" si="195"/>
        <v>0</v>
      </c>
    </row>
    <row r="964" spans="1:8" s="14" customFormat="1" ht="15" x14ac:dyDescent="0.2">
      <c r="A964" s="77" t="s">
        <v>818</v>
      </c>
      <c r="B964" s="74" t="s">
        <v>275</v>
      </c>
      <c r="C964" s="74" t="s">
        <v>173</v>
      </c>
      <c r="D964" s="74" t="s">
        <v>216</v>
      </c>
      <c r="E964" s="74"/>
      <c r="F964" s="45">
        <f t="shared" si="195"/>
        <v>568.4686899999997</v>
      </c>
      <c r="G964" s="45">
        <f t="shared" si="195"/>
        <v>0</v>
      </c>
      <c r="H964" s="45">
        <f t="shared" si="195"/>
        <v>0</v>
      </c>
    </row>
    <row r="965" spans="1:8" s="14" customFormat="1" ht="15" x14ac:dyDescent="0.2">
      <c r="A965" s="81" t="s">
        <v>199</v>
      </c>
      <c r="B965" s="12" t="s">
        <v>275</v>
      </c>
      <c r="C965" s="12" t="s">
        <v>173</v>
      </c>
      <c r="D965" s="12" t="s">
        <v>216</v>
      </c>
      <c r="E965" s="12" t="s">
        <v>200</v>
      </c>
      <c r="F965" s="46">
        <f t="shared" si="195"/>
        <v>568.4686899999997</v>
      </c>
      <c r="G965" s="46">
        <f t="shared" si="195"/>
        <v>0</v>
      </c>
      <c r="H965" s="46">
        <f t="shared" si="195"/>
        <v>0</v>
      </c>
    </row>
    <row r="966" spans="1:8" s="14" customFormat="1" ht="15" x14ac:dyDescent="0.2">
      <c r="A966" s="81" t="s">
        <v>820</v>
      </c>
      <c r="B966" s="12" t="s">
        <v>275</v>
      </c>
      <c r="C966" s="12" t="s">
        <v>173</v>
      </c>
      <c r="D966" s="12" t="s">
        <v>216</v>
      </c>
      <c r="E966" s="12" t="s">
        <v>202</v>
      </c>
      <c r="F966" s="98">
        <f>16000-750-4161.53131-7000-3520</f>
        <v>568.4686899999997</v>
      </c>
      <c r="G966" s="115">
        <v>0</v>
      </c>
      <c r="H966" s="115">
        <v>0</v>
      </c>
    </row>
    <row r="967" spans="1:8" s="14" customFormat="1" ht="15" x14ac:dyDescent="0.2">
      <c r="A967" s="80" t="s">
        <v>276</v>
      </c>
      <c r="B967" s="79" t="s">
        <v>190</v>
      </c>
      <c r="C967" s="79"/>
      <c r="D967" s="79"/>
      <c r="E967" s="79"/>
      <c r="F967" s="86">
        <f>F968</f>
        <v>5000</v>
      </c>
      <c r="G967" s="86">
        <f t="shared" ref="G967:H970" si="196">G968</f>
        <v>0</v>
      </c>
      <c r="H967" s="86">
        <f t="shared" si="196"/>
        <v>0</v>
      </c>
    </row>
    <row r="968" spans="1:8" s="14" customFormat="1" ht="15" x14ac:dyDescent="0.2">
      <c r="A968" s="77" t="s">
        <v>172</v>
      </c>
      <c r="B968" s="30" t="s">
        <v>277</v>
      </c>
      <c r="C968" s="74" t="s">
        <v>173</v>
      </c>
      <c r="D968" s="83"/>
      <c r="E968" s="30"/>
      <c r="F968" s="31">
        <f>F969</f>
        <v>5000</v>
      </c>
      <c r="G968" s="45">
        <f t="shared" si="196"/>
        <v>0</v>
      </c>
      <c r="H968" s="45">
        <f t="shared" si="196"/>
        <v>0</v>
      </c>
    </row>
    <row r="969" spans="1:8" s="14" customFormat="1" ht="15" x14ac:dyDescent="0.2">
      <c r="A969" s="77" t="s">
        <v>818</v>
      </c>
      <c r="B969" s="30" t="s">
        <v>277</v>
      </c>
      <c r="C969" s="74" t="s">
        <v>173</v>
      </c>
      <c r="D969" s="74" t="s">
        <v>216</v>
      </c>
      <c r="E969" s="30"/>
      <c r="F969" s="31">
        <f>F970</f>
        <v>5000</v>
      </c>
      <c r="G969" s="45">
        <f t="shared" si="196"/>
        <v>0</v>
      </c>
      <c r="H969" s="45">
        <f t="shared" si="196"/>
        <v>0</v>
      </c>
    </row>
    <row r="970" spans="1:8" s="14" customFormat="1" ht="15" x14ac:dyDescent="0.2">
      <c r="A970" s="35" t="s">
        <v>199</v>
      </c>
      <c r="B970" s="36" t="s">
        <v>277</v>
      </c>
      <c r="C970" s="12" t="s">
        <v>173</v>
      </c>
      <c r="D970" s="12" t="s">
        <v>216</v>
      </c>
      <c r="E970" s="36" t="s">
        <v>200</v>
      </c>
      <c r="F970" s="37">
        <f>F971</f>
        <v>5000</v>
      </c>
      <c r="G970" s="46">
        <f t="shared" si="196"/>
        <v>0</v>
      </c>
      <c r="H970" s="46">
        <f t="shared" si="196"/>
        <v>0</v>
      </c>
    </row>
    <row r="971" spans="1:8" s="14" customFormat="1" ht="15" x14ac:dyDescent="0.2">
      <c r="A971" s="35" t="s">
        <v>201</v>
      </c>
      <c r="B971" s="36" t="s">
        <v>277</v>
      </c>
      <c r="C971" s="12" t="s">
        <v>173</v>
      </c>
      <c r="D971" s="12" t="s">
        <v>216</v>
      </c>
      <c r="E971" s="36" t="s">
        <v>202</v>
      </c>
      <c r="F971" s="98">
        <v>5000</v>
      </c>
      <c r="G971" s="115">
        <v>0</v>
      </c>
      <c r="H971" s="115">
        <v>0</v>
      </c>
    </row>
    <row r="972" spans="1:8" s="14" customFormat="1" ht="27" x14ac:dyDescent="0.2">
      <c r="A972" s="80" t="s">
        <v>286</v>
      </c>
      <c r="B972" s="79" t="s">
        <v>190</v>
      </c>
      <c r="C972" s="79"/>
      <c r="D972" s="79"/>
      <c r="E972" s="79"/>
      <c r="F972" s="78">
        <f t="shared" ref="F972:H975" si="197">F973</f>
        <v>3000</v>
      </c>
      <c r="G972" s="78">
        <f t="shared" si="197"/>
        <v>1000</v>
      </c>
      <c r="H972" s="78">
        <f t="shared" si="197"/>
        <v>1000</v>
      </c>
    </row>
    <row r="973" spans="1:8" s="14" customFormat="1" ht="15" x14ac:dyDescent="0.2">
      <c r="A973" s="77" t="s">
        <v>282</v>
      </c>
      <c r="B973" s="74" t="s">
        <v>287</v>
      </c>
      <c r="C973" s="74" t="s">
        <v>283</v>
      </c>
      <c r="D973" s="74"/>
      <c r="E973" s="74"/>
      <c r="F973" s="31">
        <f t="shared" si="197"/>
        <v>3000</v>
      </c>
      <c r="G973" s="31">
        <f t="shared" si="197"/>
        <v>1000</v>
      </c>
      <c r="H973" s="31">
        <f t="shared" si="197"/>
        <v>1000</v>
      </c>
    </row>
    <row r="974" spans="1:8" s="14" customFormat="1" ht="24" x14ac:dyDescent="0.2">
      <c r="A974" s="75" t="s">
        <v>773</v>
      </c>
      <c r="B974" s="74" t="s">
        <v>287</v>
      </c>
      <c r="C974" s="74" t="s">
        <v>283</v>
      </c>
      <c r="D974" s="74" t="s">
        <v>284</v>
      </c>
      <c r="E974" s="74"/>
      <c r="F974" s="37">
        <f t="shared" si="197"/>
        <v>3000</v>
      </c>
      <c r="G974" s="37">
        <f t="shared" si="197"/>
        <v>1000</v>
      </c>
      <c r="H974" s="37">
        <f t="shared" si="197"/>
        <v>1000</v>
      </c>
    </row>
    <row r="975" spans="1:8" s="14" customFormat="1" ht="15" x14ac:dyDescent="0.2">
      <c r="A975" s="73" t="s">
        <v>815</v>
      </c>
      <c r="B975" s="12" t="s">
        <v>287</v>
      </c>
      <c r="C975" s="12" t="s">
        <v>283</v>
      </c>
      <c r="D975" s="12" t="s">
        <v>284</v>
      </c>
      <c r="E975" s="12" t="s">
        <v>196</v>
      </c>
      <c r="F975" s="37">
        <f t="shared" si="197"/>
        <v>3000</v>
      </c>
      <c r="G975" s="37">
        <f t="shared" si="197"/>
        <v>1000</v>
      </c>
      <c r="H975" s="37">
        <f t="shared" si="197"/>
        <v>1000</v>
      </c>
    </row>
    <row r="976" spans="1:8" s="14" customFormat="1" ht="15" x14ac:dyDescent="0.2">
      <c r="A976" s="73" t="s">
        <v>197</v>
      </c>
      <c r="B976" s="12" t="s">
        <v>287</v>
      </c>
      <c r="C976" s="12" t="s">
        <v>283</v>
      </c>
      <c r="D976" s="12" t="s">
        <v>284</v>
      </c>
      <c r="E976" s="12" t="s">
        <v>198</v>
      </c>
      <c r="F976" s="37">
        <f>3000</f>
        <v>3000</v>
      </c>
      <c r="G976" s="98">
        <v>1000</v>
      </c>
      <c r="H976" s="98">
        <v>1000</v>
      </c>
    </row>
    <row r="977" spans="1:8" s="14" customFormat="1" ht="15" x14ac:dyDescent="0.2">
      <c r="A977" s="85" t="s">
        <v>288</v>
      </c>
      <c r="B977" s="79" t="s">
        <v>190</v>
      </c>
      <c r="C977" s="79"/>
      <c r="D977" s="79"/>
      <c r="E977" s="79"/>
      <c r="F977" s="78">
        <f t="shared" ref="F977:H978" si="198">F978</f>
        <v>9894.0010000000002</v>
      </c>
      <c r="G977" s="78">
        <f t="shared" si="198"/>
        <v>7497</v>
      </c>
      <c r="H977" s="78">
        <f t="shared" si="198"/>
        <v>7497</v>
      </c>
    </row>
    <row r="978" spans="1:8" s="14" customFormat="1" ht="15" x14ac:dyDescent="0.2">
      <c r="A978" s="77" t="s">
        <v>282</v>
      </c>
      <c r="B978" s="74" t="s">
        <v>289</v>
      </c>
      <c r="C978" s="74" t="s">
        <v>283</v>
      </c>
      <c r="D978" s="12"/>
      <c r="E978" s="12"/>
      <c r="F978" s="31">
        <f t="shared" si="198"/>
        <v>9894.0010000000002</v>
      </c>
      <c r="G978" s="31">
        <f t="shared" si="198"/>
        <v>7497</v>
      </c>
      <c r="H978" s="31">
        <f t="shared" si="198"/>
        <v>7497</v>
      </c>
    </row>
    <row r="979" spans="1:8" s="14" customFormat="1" ht="15" x14ac:dyDescent="0.2">
      <c r="A979" s="77" t="s">
        <v>263</v>
      </c>
      <c r="B979" s="74" t="s">
        <v>289</v>
      </c>
      <c r="C979" s="74" t="s">
        <v>283</v>
      </c>
      <c r="D979" s="74" t="s">
        <v>284</v>
      </c>
      <c r="E979" s="74"/>
      <c r="F979" s="31">
        <f>F980+F982+F984</f>
        <v>9894.0010000000002</v>
      </c>
      <c r="G979" s="31">
        <f>G980+G982+G984</f>
        <v>7497</v>
      </c>
      <c r="H979" s="31">
        <f>H980+H982+H984</f>
        <v>7497</v>
      </c>
    </row>
    <row r="980" spans="1:8" s="14" customFormat="1" ht="36" x14ac:dyDescent="0.2">
      <c r="A980" s="81" t="s">
        <v>185</v>
      </c>
      <c r="B980" s="12" t="s">
        <v>289</v>
      </c>
      <c r="C980" s="12" t="s">
        <v>283</v>
      </c>
      <c r="D980" s="12" t="s">
        <v>284</v>
      </c>
      <c r="E980" s="12" t="s">
        <v>186</v>
      </c>
      <c r="F980" s="37">
        <f>F981</f>
        <v>4716.152</v>
      </c>
      <c r="G980" s="37">
        <f>G981</f>
        <v>4242</v>
      </c>
      <c r="H980" s="37">
        <f>H981</f>
        <v>4242</v>
      </c>
    </row>
    <row r="981" spans="1:8" s="14" customFormat="1" ht="15" x14ac:dyDescent="0.2">
      <c r="A981" s="81" t="s">
        <v>266</v>
      </c>
      <c r="B981" s="12" t="s">
        <v>289</v>
      </c>
      <c r="C981" s="12" t="s">
        <v>283</v>
      </c>
      <c r="D981" s="12" t="s">
        <v>284</v>
      </c>
      <c r="E981" s="12" t="s">
        <v>267</v>
      </c>
      <c r="F981" s="98">
        <f>3196.6+20+971.4+7+47+474.152</f>
        <v>4716.152</v>
      </c>
      <c r="G981" s="98">
        <f t="shared" ref="G981:H981" si="199">3196.6+20+971.4+7+47</f>
        <v>4242</v>
      </c>
      <c r="H981" s="98">
        <f t="shared" si="199"/>
        <v>4242</v>
      </c>
    </row>
    <row r="982" spans="1:8" s="14" customFormat="1" ht="15" x14ac:dyDescent="0.2">
      <c r="A982" s="81" t="s">
        <v>815</v>
      </c>
      <c r="B982" s="12" t="s">
        <v>289</v>
      </c>
      <c r="C982" s="12" t="s">
        <v>283</v>
      </c>
      <c r="D982" s="12" t="s">
        <v>284</v>
      </c>
      <c r="E982" s="12" t="s">
        <v>196</v>
      </c>
      <c r="F982" s="98">
        <f>F983</f>
        <v>5167.8490000000002</v>
      </c>
      <c r="G982" s="98">
        <f t="shared" ref="G982:H982" si="200">G983</f>
        <v>3245</v>
      </c>
      <c r="H982" s="98">
        <f t="shared" si="200"/>
        <v>3245</v>
      </c>
    </row>
    <row r="983" spans="1:8" s="14" customFormat="1" ht="15" x14ac:dyDescent="0.2">
      <c r="A983" s="81" t="s">
        <v>197</v>
      </c>
      <c r="B983" s="12" t="s">
        <v>289</v>
      </c>
      <c r="C983" s="12" t="s">
        <v>283</v>
      </c>
      <c r="D983" s="12" t="s">
        <v>284</v>
      </c>
      <c r="E983" s="12" t="s">
        <v>198</v>
      </c>
      <c r="F983" s="98">
        <f>225+720+70+160+70+2000+1922.849</f>
        <v>5167.8490000000002</v>
      </c>
      <c r="G983" s="98">
        <f t="shared" ref="G983:H983" si="201">225+720+70+160+70+2000</f>
        <v>3245</v>
      </c>
      <c r="H983" s="98">
        <f t="shared" si="201"/>
        <v>3245</v>
      </c>
    </row>
    <row r="984" spans="1:8" s="14" customFormat="1" ht="15" x14ac:dyDescent="0.2">
      <c r="A984" s="81" t="s">
        <v>199</v>
      </c>
      <c r="B984" s="12" t="s">
        <v>289</v>
      </c>
      <c r="C984" s="12" t="s">
        <v>283</v>
      </c>
      <c r="D984" s="12" t="s">
        <v>284</v>
      </c>
      <c r="E984" s="12" t="s">
        <v>200</v>
      </c>
      <c r="F984" s="98">
        <f>F985</f>
        <v>10</v>
      </c>
      <c r="G984" s="98">
        <f t="shared" ref="G984:H984" si="202">G985</f>
        <v>10</v>
      </c>
      <c r="H984" s="98">
        <f t="shared" si="202"/>
        <v>10</v>
      </c>
    </row>
    <row r="985" spans="1:8" s="14" customFormat="1" ht="15" x14ac:dyDescent="0.2">
      <c r="A985" s="81" t="s">
        <v>820</v>
      </c>
      <c r="B985" s="12" t="s">
        <v>289</v>
      </c>
      <c r="C985" s="12" t="s">
        <v>283</v>
      </c>
      <c r="D985" s="12" t="s">
        <v>284</v>
      </c>
      <c r="E985" s="12" t="s">
        <v>202</v>
      </c>
      <c r="F985" s="98">
        <v>10</v>
      </c>
      <c r="G985" s="98">
        <v>10</v>
      </c>
      <c r="H985" s="98">
        <v>10</v>
      </c>
    </row>
    <row r="986" spans="1:8" s="14" customFormat="1" ht="27" x14ac:dyDescent="0.2">
      <c r="A986" s="85" t="s">
        <v>309</v>
      </c>
      <c r="B986" s="79" t="s">
        <v>190</v>
      </c>
      <c r="C986" s="79"/>
      <c r="D986" s="79"/>
      <c r="E986" s="79"/>
      <c r="F986" s="78">
        <f t="shared" ref="F986:H999" si="203">F987</f>
        <v>6000</v>
      </c>
      <c r="G986" s="78">
        <f t="shared" si="203"/>
        <v>5000</v>
      </c>
      <c r="H986" s="78">
        <f t="shared" si="203"/>
        <v>5000</v>
      </c>
    </row>
    <row r="987" spans="1:8" s="14" customFormat="1" ht="15" x14ac:dyDescent="0.2">
      <c r="A987" s="77" t="s">
        <v>290</v>
      </c>
      <c r="B987" s="74" t="s">
        <v>310</v>
      </c>
      <c r="C987" s="74" t="s">
        <v>177</v>
      </c>
      <c r="D987" s="87"/>
      <c r="E987" s="74"/>
      <c r="F987" s="31">
        <f t="shared" si="203"/>
        <v>6000</v>
      </c>
      <c r="G987" s="31">
        <f t="shared" si="203"/>
        <v>5000</v>
      </c>
      <c r="H987" s="31">
        <f t="shared" si="203"/>
        <v>5000</v>
      </c>
    </row>
    <row r="988" spans="1:8" s="14" customFormat="1" ht="15" x14ac:dyDescent="0.2">
      <c r="A988" s="77" t="s">
        <v>291</v>
      </c>
      <c r="B988" s="74" t="s">
        <v>310</v>
      </c>
      <c r="C988" s="74" t="s">
        <v>177</v>
      </c>
      <c r="D988" s="74" t="s">
        <v>292</v>
      </c>
      <c r="E988" s="74"/>
      <c r="F988" s="31">
        <f t="shared" si="203"/>
        <v>6000</v>
      </c>
      <c r="G988" s="31">
        <f t="shared" si="203"/>
        <v>5000</v>
      </c>
      <c r="H988" s="31">
        <f t="shared" si="203"/>
        <v>5000</v>
      </c>
    </row>
    <row r="989" spans="1:8" s="14" customFormat="1" ht="15" x14ac:dyDescent="0.2">
      <c r="A989" s="73" t="s">
        <v>815</v>
      </c>
      <c r="B989" s="12" t="s">
        <v>310</v>
      </c>
      <c r="C989" s="12" t="s">
        <v>177</v>
      </c>
      <c r="D989" s="12" t="s">
        <v>292</v>
      </c>
      <c r="E989" s="88">
        <v>200</v>
      </c>
      <c r="F989" s="37">
        <f t="shared" si="203"/>
        <v>6000</v>
      </c>
      <c r="G989" s="37">
        <f t="shared" si="203"/>
        <v>5000</v>
      </c>
      <c r="H989" s="37">
        <f t="shared" si="203"/>
        <v>5000</v>
      </c>
    </row>
    <row r="990" spans="1:8" s="14" customFormat="1" ht="15" x14ac:dyDescent="0.2">
      <c r="A990" s="73" t="s">
        <v>197</v>
      </c>
      <c r="B990" s="12" t="s">
        <v>310</v>
      </c>
      <c r="C990" s="12" t="s">
        <v>177</v>
      </c>
      <c r="D990" s="12" t="s">
        <v>292</v>
      </c>
      <c r="E990" s="12" t="s">
        <v>198</v>
      </c>
      <c r="F990" s="98">
        <f>5000+1000</f>
        <v>6000</v>
      </c>
      <c r="G990" s="98">
        <v>5000</v>
      </c>
      <c r="H990" s="98">
        <v>5000</v>
      </c>
    </row>
    <row r="991" spans="1:8" s="14" customFormat="1" ht="15" x14ac:dyDescent="0.2">
      <c r="A991" s="85" t="s">
        <v>311</v>
      </c>
      <c r="B991" s="79" t="s">
        <v>190</v>
      </c>
      <c r="C991" s="79"/>
      <c r="D991" s="79"/>
      <c r="E991" s="79"/>
      <c r="F991" s="78">
        <f t="shared" si="203"/>
        <v>1000</v>
      </c>
      <c r="G991" s="78">
        <f t="shared" si="203"/>
        <v>1000</v>
      </c>
      <c r="H991" s="78">
        <f t="shared" si="203"/>
        <v>1000</v>
      </c>
    </row>
    <row r="992" spans="1:8" s="14" customFormat="1" ht="15" x14ac:dyDescent="0.2">
      <c r="A992" s="77" t="s">
        <v>290</v>
      </c>
      <c r="B992" s="74" t="s">
        <v>312</v>
      </c>
      <c r="C992" s="74" t="s">
        <v>177</v>
      </c>
      <c r="D992" s="87"/>
      <c r="E992" s="74"/>
      <c r="F992" s="31">
        <f t="shared" si="203"/>
        <v>1000</v>
      </c>
      <c r="G992" s="31">
        <f t="shared" si="203"/>
        <v>1000</v>
      </c>
      <c r="H992" s="31">
        <f t="shared" si="203"/>
        <v>1000</v>
      </c>
    </row>
    <row r="993" spans="1:8" s="14" customFormat="1" ht="15" x14ac:dyDescent="0.2">
      <c r="A993" s="77" t="s">
        <v>291</v>
      </c>
      <c r="B993" s="74" t="s">
        <v>312</v>
      </c>
      <c r="C993" s="74" t="s">
        <v>177</v>
      </c>
      <c r="D993" s="74" t="s">
        <v>292</v>
      </c>
      <c r="E993" s="74"/>
      <c r="F993" s="31">
        <f t="shared" si="203"/>
        <v>1000</v>
      </c>
      <c r="G993" s="31">
        <f t="shared" si="203"/>
        <v>1000</v>
      </c>
      <c r="H993" s="31">
        <f t="shared" si="203"/>
        <v>1000</v>
      </c>
    </row>
    <row r="994" spans="1:8" s="14" customFormat="1" ht="15" x14ac:dyDescent="0.2">
      <c r="A994" s="73" t="s">
        <v>815</v>
      </c>
      <c r="B994" s="12" t="s">
        <v>312</v>
      </c>
      <c r="C994" s="12" t="s">
        <v>177</v>
      </c>
      <c r="D994" s="12" t="s">
        <v>292</v>
      </c>
      <c r="E994" s="88">
        <v>200</v>
      </c>
      <c r="F994" s="37">
        <f t="shared" si="203"/>
        <v>1000</v>
      </c>
      <c r="G994" s="37">
        <f t="shared" si="203"/>
        <v>1000</v>
      </c>
      <c r="H994" s="37">
        <f t="shared" si="203"/>
        <v>1000</v>
      </c>
    </row>
    <row r="995" spans="1:8" s="14" customFormat="1" ht="15" x14ac:dyDescent="0.2">
      <c r="A995" s="73" t="s">
        <v>197</v>
      </c>
      <c r="B995" s="12" t="s">
        <v>312</v>
      </c>
      <c r="C995" s="12" t="s">
        <v>177</v>
      </c>
      <c r="D995" s="12" t="s">
        <v>292</v>
      </c>
      <c r="E995" s="12" t="s">
        <v>198</v>
      </c>
      <c r="F995" s="98">
        <v>1000</v>
      </c>
      <c r="G995" s="98">
        <v>1000</v>
      </c>
      <c r="H995" s="98">
        <v>1000</v>
      </c>
    </row>
    <row r="996" spans="1:8" s="14" customFormat="1" ht="15" x14ac:dyDescent="0.2">
      <c r="A996" s="85" t="s">
        <v>313</v>
      </c>
      <c r="B996" s="79" t="s">
        <v>190</v>
      </c>
      <c r="C996" s="79"/>
      <c r="D996" s="79"/>
      <c r="E996" s="79"/>
      <c r="F996" s="78">
        <f t="shared" si="203"/>
        <v>5000</v>
      </c>
      <c r="G996" s="78">
        <f t="shared" si="203"/>
        <v>0</v>
      </c>
      <c r="H996" s="78">
        <f t="shared" si="203"/>
        <v>0</v>
      </c>
    </row>
    <row r="997" spans="1:8" s="14" customFormat="1" ht="15" x14ac:dyDescent="0.2">
      <c r="A997" s="77" t="s">
        <v>290</v>
      </c>
      <c r="B997" s="74" t="s">
        <v>314</v>
      </c>
      <c r="C997" s="74" t="s">
        <v>177</v>
      </c>
      <c r="D997" s="87"/>
      <c r="E997" s="74"/>
      <c r="F997" s="31">
        <f t="shared" si="203"/>
        <v>5000</v>
      </c>
      <c r="G997" s="31">
        <f t="shared" si="203"/>
        <v>0</v>
      </c>
      <c r="H997" s="31">
        <f t="shared" si="203"/>
        <v>0</v>
      </c>
    </row>
    <row r="998" spans="1:8" s="14" customFormat="1" ht="15" x14ac:dyDescent="0.2">
      <c r="A998" s="77" t="s">
        <v>291</v>
      </c>
      <c r="B998" s="74" t="s">
        <v>314</v>
      </c>
      <c r="C998" s="74" t="s">
        <v>177</v>
      </c>
      <c r="D998" s="74" t="s">
        <v>292</v>
      </c>
      <c r="E998" s="74"/>
      <c r="F998" s="31">
        <f t="shared" si="203"/>
        <v>5000</v>
      </c>
      <c r="G998" s="31">
        <f t="shared" si="203"/>
        <v>0</v>
      </c>
      <c r="H998" s="31">
        <f t="shared" si="203"/>
        <v>0</v>
      </c>
    </row>
    <row r="999" spans="1:8" s="14" customFormat="1" ht="15" x14ac:dyDescent="0.2">
      <c r="A999" s="73" t="s">
        <v>815</v>
      </c>
      <c r="B999" s="12" t="s">
        <v>314</v>
      </c>
      <c r="C999" s="12" t="s">
        <v>177</v>
      </c>
      <c r="D999" s="12" t="s">
        <v>292</v>
      </c>
      <c r="E999" s="88">
        <v>200</v>
      </c>
      <c r="F999" s="37">
        <f t="shared" si="203"/>
        <v>5000</v>
      </c>
      <c r="G999" s="37">
        <f t="shared" si="203"/>
        <v>0</v>
      </c>
      <c r="H999" s="37">
        <f t="shared" si="203"/>
        <v>0</v>
      </c>
    </row>
    <row r="1000" spans="1:8" s="14" customFormat="1" ht="15" x14ac:dyDescent="0.2">
      <c r="A1000" s="73" t="s">
        <v>197</v>
      </c>
      <c r="B1000" s="12" t="s">
        <v>314</v>
      </c>
      <c r="C1000" s="12" t="s">
        <v>177</v>
      </c>
      <c r="D1000" s="12" t="s">
        <v>292</v>
      </c>
      <c r="E1000" s="12" t="s">
        <v>198</v>
      </c>
      <c r="F1000" s="98">
        <v>5000</v>
      </c>
      <c r="G1000" s="115">
        <v>0</v>
      </c>
      <c r="H1000" s="115">
        <v>0</v>
      </c>
    </row>
    <row r="1001" spans="1:8" s="14" customFormat="1" ht="15" x14ac:dyDescent="0.2">
      <c r="A1001" s="85" t="s">
        <v>320</v>
      </c>
      <c r="B1001" s="79" t="s">
        <v>190</v>
      </c>
      <c r="C1001" s="79"/>
      <c r="D1001" s="79"/>
      <c r="E1001" s="79"/>
      <c r="F1001" s="78">
        <f t="shared" ref="F1001:H1002" si="204">F1002</f>
        <v>8423.3690000000006</v>
      </c>
      <c r="G1001" s="78">
        <f t="shared" si="204"/>
        <v>5000</v>
      </c>
      <c r="H1001" s="78">
        <f t="shared" si="204"/>
        <v>5000</v>
      </c>
    </row>
    <row r="1002" spans="1:8" s="14" customFormat="1" ht="15" x14ac:dyDescent="0.2">
      <c r="A1002" s="77" t="s">
        <v>290</v>
      </c>
      <c r="B1002" s="74" t="s">
        <v>319</v>
      </c>
      <c r="C1002" s="76" t="s">
        <v>177</v>
      </c>
      <c r="D1002" s="76"/>
      <c r="E1002" s="76"/>
      <c r="F1002" s="99">
        <f t="shared" si="204"/>
        <v>8423.3690000000006</v>
      </c>
      <c r="G1002" s="99">
        <f t="shared" si="204"/>
        <v>5000</v>
      </c>
      <c r="H1002" s="99">
        <f t="shared" si="204"/>
        <v>5000</v>
      </c>
    </row>
    <row r="1003" spans="1:8" s="14" customFormat="1" ht="15" x14ac:dyDescent="0.2">
      <c r="A1003" s="77" t="s">
        <v>291</v>
      </c>
      <c r="B1003" s="74" t="s">
        <v>319</v>
      </c>
      <c r="C1003" s="76" t="s">
        <v>177</v>
      </c>
      <c r="D1003" s="76" t="s">
        <v>292</v>
      </c>
      <c r="E1003" s="76"/>
      <c r="F1003" s="99">
        <f>F1004+F1006</f>
        <v>8423.3690000000006</v>
      </c>
      <c r="G1003" s="99">
        <f>G1004+G1006</f>
        <v>5000</v>
      </c>
      <c r="H1003" s="99">
        <f>H1004+H1006</f>
        <v>5000</v>
      </c>
    </row>
    <row r="1004" spans="1:8" s="14" customFormat="1" ht="36" x14ac:dyDescent="0.2">
      <c r="A1004" s="81" t="s">
        <v>185</v>
      </c>
      <c r="B1004" s="12" t="s">
        <v>319</v>
      </c>
      <c r="C1004" s="12" t="s">
        <v>177</v>
      </c>
      <c r="D1004" s="12" t="s">
        <v>292</v>
      </c>
      <c r="E1004" s="12" t="s">
        <v>186</v>
      </c>
      <c r="F1004" s="98">
        <f>F1005</f>
        <v>6923.3690000000006</v>
      </c>
      <c r="G1004" s="98">
        <f>G1005</f>
        <v>4700</v>
      </c>
      <c r="H1004" s="98">
        <f>H1005</f>
        <v>4700</v>
      </c>
    </row>
    <row r="1005" spans="1:8" s="14" customFormat="1" ht="15" x14ac:dyDescent="0.2">
      <c r="A1005" s="81" t="s">
        <v>266</v>
      </c>
      <c r="B1005" s="12" t="s">
        <v>319</v>
      </c>
      <c r="C1005" s="12" t="s">
        <v>177</v>
      </c>
      <c r="D1005" s="12" t="s">
        <v>292</v>
      </c>
      <c r="E1005" s="12" t="s">
        <v>267</v>
      </c>
      <c r="F1005" s="98">
        <f>2688+812+3423.369</f>
        <v>6923.3690000000006</v>
      </c>
      <c r="G1005" s="139">
        <f>3525+975+50+150</f>
        <v>4700</v>
      </c>
      <c r="H1005" s="139">
        <f>3525+975+50+150</f>
        <v>4700</v>
      </c>
    </row>
    <row r="1006" spans="1:8" s="14" customFormat="1" ht="15" x14ac:dyDescent="0.2">
      <c r="A1006" s="81" t="s">
        <v>815</v>
      </c>
      <c r="B1006" s="12" t="s">
        <v>319</v>
      </c>
      <c r="C1006" s="12" t="s">
        <v>177</v>
      </c>
      <c r="D1006" s="12" t="s">
        <v>292</v>
      </c>
      <c r="E1006" s="12" t="s">
        <v>196</v>
      </c>
      <c r="F1006" s="139">
        <f>F1007</f>
        <v>1500</v>
      </c>
      <c r="G1006" s="139">
        <f t="shared" ref="G1006:H1006" si="205">G1007</f>
        <v>300</v>
      </c>
      <c r="H1006" s="139">
        <f t="shared" si="205"/>
        <v>300</v>
      </c>
    </row>
    <row r="1007" spans="1:8" s="14" customFormat="1" ht="15" x14ac:dyDescent="0.2">
      <c r="A1007" s="81" t="s">
        <v>197</v>
      </c>
      <c r="B1007" s="12" t="s">
        <v>319</v>
      </c>
      <c r="C1007" s="12" t="s">
        <v>177</v>
      </c>
      <c r="D1007" s="12" t="s">
        <v>292</v>
      </c>
      <c r="E1007" s="12" t="s">
        <v>198</v>
      </c>
      <c r="F1007" s="139">
        <v>1500</v>
      </c>
      <c r="G1007" s="139">
        <v>300</v>
      </c>
      <c r="H1007" s="139">
        <v>300</v>
      </c>
    </row>
    <row r="1008" spans="1:8" s="14" customFormat="1" ht="27" x14ac:dyDescent="0.2">
      <c r="A1008" s="85" t="s">
        <v>323</v>
      </c>
      <c r="B1008" s="79" t="s">
        <v>190</v>
      </c>
      <c r="C1008" s="79"/>
      <c r="D1008" s="79"/>
      <c r="E1008" s="79"/>
      <c r="F1008" s="78">
        <f t="shared" ref="F1008:H1011" si="206">F1009</f>
        <v>28879.5</v>
      </c>
      <c r="G1008" s="78">
        <f t="shared" si="206"/>
        <v>28879.5</v>
      </c>
      <c r="H1008" s="78">
        <f t="shared" si="206"/>
        <v>28879.5</v>
      </c>
    </row>
    <row r="1009" spans="1:8" s="28" customFormat="1" ht="12" x14ac:dyDescent="0.2">
      <c r="A1009" s="77" t="s">
        <v>321</v>
      </c>
      <c r="B1009" s="74" t="s">
        <v>324</v>
      </c>
      <c r="C1009" s="74" t="s">
        <v>284</v>
      </c>
      <c r="D1009" s="74"/>
      <c r="E1009" s="74"/>
      <c r="F1009" s="31">
        <f t="shared" si="206"/>
        <v>28879.5</v>
      </c>
      <c r="G1009" s="31">
        <f t="shared" si="206"/>
        <v>28879.5</v>
      </c>
      <c r="H1009" s="31">
        <f t="shared" si="206"/>
        <v>28879.5</v>
      </c>
    </row>
    <row r="1010" spans="1:8" s="28" customFormat="1" ht="12" x14ac:dyDescent="0.2">
      <c r="A1010" s="77" t="s">
        <v>322</v>
      </c>
      <c r="B1010" s="74" t="s">
        <v>324</v>
      </c>
      <c r="C1010" s="74" t="s">
        <v>284</v>
      </c>
      <c r="D1010" s="74" t="s">
        <v>173</v>
      </c>
      <c r="E1010" s="74"/>
      <c r="F1010" s="31">
        <f t="shared" si="206"/>
        <v>28879.5</v>
      </c>
      <c r="G1010" s="31">
        <f t="shared" si="206"/>
        <v>28879.5</v>
      </c>
      <c r="H1010" s="31">
        <f t="shared" si="206"/>
        <v>28879.5</v>
      </c>
    </row>
    <row r="1011" spans="1:8" s="131" customFormat="1" ht="14.25" x14ac:dyDescent="0.2">
      <c r="A1011" s="81" t="s">
        <v>325</v>
      </c>
      <c r="B1011" s="12" t="s">
        <v>324</v>
      </c>
      <c r="C1011" s="12" t="s">
        <v>284</v>
      </c>
      <c r="D1011" s="12" t="s">
        <v>173</v>
      </c>
      <c r="E1011" s="12" t="s">
        <v>326</v>
      </c>
      <c r="F1011" s="37">
        <f t="shared" si="206"/>
        <v>28879.5</v>
      </c>
      <c r="G1011" s="37">
        <f t="shared" si="206"/>
        <v>28879.5</v>
      </c>
      <c r="H1011" s="37">
        <f t="shared" si="206"/>
        <v>28879.5</v>
      </c>
    </row>
    <row r="1012" spans="1:8" s="131" customFormat="1" ht="14.25" x14ac:dyDescent="0.2">
      <c r="A1012" s="81" t="s">
        <v>738</v>
      </c>
      <c r="B1012" s="12" t="s">
        <v>324</v>
      </c>
      <c r="C1012" s="12" t="s">
        <v>284</v>
      </c>
      <c r="D1012" s="12" t="s">
        <v>173</v>
      </c>
      <c r="E1012" s="12" t="s">
        <v>328</v>
      </c>
      <c r="F1012" s="98">
        <v>28879.5</v>
      </c>
      <c r="G1012" s="98">
        <v>28879.5</v>
      </c>
      <c r="H1012" s="98">
        <v>28879.5</v>
      </c>
    </row>
    <row r="1013" spans="1:8" s="131" customFormat="1" ht="27" x14ac:dyDescent="0.2">
      <c r="A1013" s="85" t="s">
        <v>340</v>
      </c>
      <c r="B1013" s="79" t="s">
        <v>190</v>
      </c>
      <c r="C1013" s="79"/>
      <c r="D1013" s="79"/>
      <c r="E1013" s="79"/>
      <c r="F1013" s="78">
        <f t="shared" ref="F1013:H1021" si="207">F1014</f>
        <v>26864.13</v>
      </c>
      <c r="G1013" s="86">
        <f t="shared" si="207"/>
        <v>0</v>
      </c>
      <c r="H1013" s="86">
        <f t="shared" si="207"/>
        <v>0</v>
      </c>
    </row>
    <row r="1014" spans="1:8" s="135" customFormat="1" ht="15" x14ac:dyDescent="0.2">
      <c r="A1014" s="77" t="s">
        <v>321</v>
      </c>
      <c r="B1014" s="30" t="s">
        <v>341</v>
      </c>
      <c r="C1014" s="74" t="s">
        <v>284</v>
      </c>
      <c r="D1014" s="74"/>
      <c r="E1014" s="74"/>
      <c r="F1014" s="31">
        <f t="shared" si="207"/>
        <v>26864.13</v>
      </c>
      <c r="G1014" s="45">
        <f t="shared" si="207"/>
        <v>0</v>
      </c>
      <c r="H1014" s="45">
        <f t="shared" si="207"/>
        <v>0</v>
      </c>
    </row>
    <row r="1015" spans="1:8" s="135" customFormat="1" ht="15" x14ac:dyDescent="0.2">
      <c r="A1015" s="77" t="s">
        <v>329</v>
      </c>
      <c r="B1015" s="30" t="s">
        <v>341</v>
      </c>
      <c r="C1015" s="74" t="s">
        <v>284</v>
      </c>
      <c r="D1015" s="74" t="s">
        <v>283</v>
      </c>
      <c r="E1015" s="74"/>
      <c r="F1015" s="31">
        <f t="shared" si="207"/>
        <v>26864.13</v>
      </c>
      <c r="G1015" s="45">
        <f t="shared" si="207"/>
        <v>0</v>
      </c>
      <c r="H1015" s="45">
        <f t="shared" si="207"/>
        <v>0</v>
      </c>
    </row>
    <row r="1016" spans="1:8" s="14" customFormat="1" ht="15" x14ac:dyDescent="0.2">
      <c r="A1016" s="35" t="s">
        <v>325</v>
      </c>
      <c r="B1016" s="36" t="s">
        <v>341</v>
      </c>
      <c r="C1016" s="36" t="s">
        <v>284</v>
      </c>
      <c r="D1016" s="36" t="s">
        <v>283</v>
      </c>
      <c r="E1016" s="36" t="s">
        <v>326</v>
      </c>
      <c r="F1016" s="37">
        <f t="shared" si="207"/>
        <v>26864.13</v>
      </c>
      <c r="G1016" s="46">
        <f t="shared" si="207"/>
        <v>0</v>
      </c>
      <c r="H1016" s="46">
        <f t="shared" si="207"/>
        <v>0</v>
      </c>
    </row>
    <row r="1017" spans="1:8" s="14" customFormat="1" ht="15" x14ac:dyDescent="0.2">
      <c r="A1017" s="35" t="s">
        <v>336</v>
      </c>
      <c r="B1017" s="36" t="s">
        <v>341</v>
      </c>
      <c r="C1017" s="36" t="s">
        <v>284</v>
      </c>
      <c r="D1017" s="36" t="s">
        <v>283</v>
      </c>
      <c r="E1017" s="36" t="s">
        <v>337</v>
      </c>
      <c r="F1017" s="98">
        <f>20000+306.13+6558</f>
        <v>26864.13</v>
      </c>
      <c r="G1017" s="115">
        <v>0</v>
      </c>
      <c r="H1017" s="115">
        <v>0</v>
      </c>
    </row>
    <row r="1018" spans="1:8" s="14" customFormat="1" ht="15" x14ac:dyDescent="0.2">
      <c r="A1018" s="85" t="s">
        <v>342</v>
      </c>
      <c r="B1018" s="79" t="s">
        <v>190</v>
      </c>
      <c r="C1018" s="79"/>
      <c r="D1018" s="79"/>
      <c r="E1018" s="79"/>
      <c r="F1018" s="78">
        <f t="shared" si="207"/>
        <v>12834</v>
      </c>
      <c r="G1018" s="86">
        <f t="shared" si="207"/>
        <v>0</v>
      </c>
      <c r="H1018" s="86">
        <f t="shared" si="207"/>
        <v>0</v>
      </c>
    </row>
    <row r="1019" spans="1:8" s="14" customFormat="1" ht="15" x14ac:dyDescent="0.2">
      <c r="A1019" s="77" t="s">
        <v>321</v>
      </c>
      <c r="B1019" s="30" t="s">
        <v>343</v>
      </c>
      <c r="C1019" s="74" t="s">
        <v>284</v>
      </c>
      <c r="D1019" s="74"/>
      <c r="E1019" s="74"/>
      <c r="F1019" s="31">
        <f t="shared" si="207"/>
        <v>12834</v>
      </c>
      <c r="G1019" s="45">
        <f t="shared" si="207"/>
        <v>0</v>
      </c>
      <c r="H1019" s="45">
        <f t="shared" si="207"/>
        <v>0</v>
      </c>
    </row>
    <row r="1020" spans="1:8" s="14" customFormat="1" ht="15" x14ac:dyDescent="0.2">
      <c r="A1020" s="77" t="s">
        <v>329</v>
      </c>
      <c r="B1020" s="36" t="s">
        <v>343</v>
      </c>
      <c r="C1020" s="74" t="s">
        <v>284</v>
      </c>
      <c r="D1020" s="74" t="s">
        <v>283</v>
      </c>
      <c r="E1020" s="74"/>
      <c r="F1020" s="31">
        <f t="shared" si="207"/>
        <v>12834</v>
      </c>
      <c r="G1020" s="45">
        <f t="shared" si="207"/>
        <v>0</v>
      </c>
      <c r="H1020" s="45">
        <f t="shared" si="207"/>
        <v>0</v>
      </c>
    </row>
    <row r="1021" spans="1:8" s="14" customFormat="1" ht="15" x14ac:dyDescent="0.2">
      <c r="A1021" s="35" t="s">
        <v>344</v>
      </c>
      <c r="B1021" s="36" t="s">
        <v>343</v>
      </c>
      <c r="C1021" s="36" t="s">
        <v>284</v>
      </c>
      <c r="D1021" s="36" t="s">
        <v>283</v>
      </c>
      <c r="E1021" s="36" t="s">
        <v>345</v>
      </c>
      <c r="F1021" s="37">
        <f t="shared" si="207"/>
        <v>12834</v>
      </c>
      <c r="G1021" s="46">
        <f t="shared" si="207"/>
        <v>0</v>
      </c>
      <c r="H1021" s="46">
        <f t="shared" si="207"/>
        <v>0</v>
      </c>
    </row>
    <row r="1022" spans="1:8" s="14" customFormat="1" ht="15" x14ac:dyDescent="0.2">
      <c r="A1022" s="35" t="s">
        <v>346</v>
      </c>
      <c r="B1022" s="36" t="s">
        <v>343</v>
      </c>
      <c r="C1022" s="36" t="s">
        <v>284</v>
      </c>
      <c r="D1022" s="36" t="s">
        <v>283</v>
      </c>
      <c r="E1022" s="36" t="s">
        <v>347</v>
      </c>
      <c r="F1022" s="98">
        <v>12834</v>
      </c>
      <c r="G1022" s="115">
        <v>0</v>
      </c>
      <c r="H1022" s="115">
        <v>0</v>
      </c>
    </row>
    <row r="1023" spans="1:8" s="14" customFormat="1" ht="27" x14ac:dyDescent="0.2">
      <c r="A1023" s="85" t="s">
        <v>821</v>
      </c>
      <c r="B1023" s="79" t="s">
        <v>190</v>
      </c>
      <c r="C1023" s="79"/>
      <c r="D1023" s="79"/>
      <c r="E1023" s="79"/>
      <c r="F1023" s="78">
        <f t="shared" ref="F1023:H1026" si="208">F1024</f>
        <v>10057.299000000001</v>
      </c>
      <c r="G1023" s="78">
        <f t="shared" si="208"/>
        <v>11187.2</v>
      </c>
      <c r="H1023" s="78">
        <f t="shared" si="208"/>
        <v>11187.2</v>
      </c>
    </row>
    <row r="1024" spans="1:8" s="14" customFormat="1" ht="15" x14ac:dyDescent="0.2">
      <c r="A1024" s="77" t="s">
        <v>350</v>
      </c>
      <c r="B1024" s="74" t="s">
        <v>355</v>
      </c>
      <c r="C1024" s="74" t="s">
        <v>292</v>
      </c>
      <c r="D1024" s="12"/>
      <c r="E1024" s="12"/>
      <c r="F1024" s="31">
        <f t="shared" si="208"/>
        <v>10057.299000000001</v>
      </c>
      <c r="G1024" s="31">
        <f t="shared" si="208"/>
        <v>11187.2</v>
      </c>
      <c r="H1024" s="31">
        <f t="shared" si="208"/>
        <v>11187.2</v>
      </c>
    </row>
    <row r="1025" spans="1:8" s="14" customFormat="1" ht="15" x14ac:dyDescent="0.2">
      <c r="A1025" s="77" t="s">
        <v>351</v>
      </c>
      <c r="B1025" s="74" t="s">
        <v>355</v>
      </c>
      <c r="C1025" s="74" t="s">
        <v>292</v>
      </c>
      <c r="D1025" s="74" t="s">
        <v>352</v>
      </c>
      <c r="E1025" s="12"/>
      <c r="F1025" s="45">
        <f t="shared" si="208"/>
        <v>10057.299000000001</v>
      </c>
      <c r="G1025" s="45">
        <f t="shared" si="208"/>
        <v>11187.2</v>
      </c>
      <c r="H1025" s="45">
        <f t="shared" si="208"/>
        <v>11187.2</v>
      </c>
    </row>
    <row r="1026" spans="1:8" s="14" customFormat="1" ht="15" x14ac:dyDescent="0.2">
      <c r="A1026" s="81" t="s">
        <v>356</v>
      </c>
      <c r="B1026" s="12" t="s">
        <v>355</v>
      </c>
      <c r="C1026" s="12" t="s">
        <v>292</v>
      </c>
      <c r="D1026" s="12" t="s">
        <v>352</v>
      </c>
      <c r="E1026" s="12" t="s">
        <v>357</v>
      </c>
      <c r="F1026" s="46">
        <f t="shared" si="208"/>
        <v>10057.299000000001</v>
      </c>
      <c r="G1026" s="46">
        <f t="shared" si="208"/>
        <v>11187.2</v>
      </c>
      <c r="H1026" s="46">
        <f t="shared" si="208"/>
        <v>11187.2</v>
      </c>
    </row>
    <row r="1027" spans="1:8" s="14" customFormat="1" ht="15" x14ac:dyDescent="0.2">
      <c r="A1027" s="81" t="s">
        <v>358</v>
      </c>
      <c r="B1027" s="12" t="s">
        <v>355</v>
      </c>
      <c r="C1027" s="12" t="s">
        <v>292</v>
      </c>
      <c r="D1027" s="12" t="s">
        <v>352</v>
      </c>
      <c r="E1027" s="12" t="s">
        <v>359</v>
      </c>
      <c r="F1027" s="98">
        <f>11187.2-1129.901</f>
        <v>10057.299000000001</v>
      </c>
      <c r="G1027" s="98">
        <v>11187.2</v>
      </c>
      <c r="H1027" s="98">
        <v>11187.2</v>
      </c>
    </row>
    <row r="1028" spans="1:8" ht="13.5" x14ac:dyDescent="0.2">
      <c r="A1028" s="85" t="s">
        <v>362</v>
      </c>
      <c r="B1028" s="79" t="s">
        <v>189</v>
      </c>
      <c r="C1028" s="79"/>
      <c r="D1028" s="79"/>
      <c r="E1028" s="79"/>
      <c r="F1028" s="86">
        <f>F1029</f>
        <v>2000</v>
      </c>
      <c r="G1028" s="86">
        <f t="shared" ref="G1028:H1032" si="209">G1029</f>
        <v>2000</v>
      </c>
      <c r="H1028" s="86">
        <f t="shared" si="209"/>
        <v>2000</v>
      </c>
    </row>
    <row r="1029" spans="1:8" x14ac:dyDescent="0.2">
      <c r="A1029" s="57" t="s">
        <v>172</v>
      </c>
      <c r="B1029" s="30" t="s">
        <v>363</v>
      </c>
      <c r="C1029" s="133" t="s">
        <v>173</v>
      </c>
      <c r="D1029" s="133"/>
      <c r="E1029" s="133"/>
      <c r="F1029" s="134">
        <f>F1030</f>
        <v>2000</v>
      </c>
      <c r="G1029" s="134">
        <f t="shared" si="209"/>
        <v>2000</v>
      </c>
      <c r="H1029" s="134">
        <f t="shared" si="209"/>
        <v>2000</v>
      </c>
    </row>
    <row r="1030" spans="1:8" x14ac:dyDescent="0.2">
      <c r="A1030" s="57" t="s">
        <v>818</v>
      </c>
      <c r="B1030" s="30" t="s">
        <v>363</v>
      </c>
      <c r="C1030" s="133" t="s">
        <v>173</v>
      </c>
      <c r="D1030" s="133" t="s">
        <v>216</v>
      </c>
      <c r="E1030" s="133"/>
      <c r="F1030" s="134">
        <f>F1031</f>
        <v>2000</v>
      </c>
      <c r="G1030" s="134">
        <f t="shared" si="209"/>
        <v>2000</v>
      </c>
      <c r="H1030" s="134">
        <f t="shared" si="209"/>
        <v>2000</v>
      </c>
    </row>
    <row r="1031" spans="1:8" x14ac:dyDescent="0.2">
      <c r="A1031" s="132" t="s">
        <v>362</v>
      </c>
      <c r="B1031" s="30" t="s">
        <v>363</v>
      </c>
      <c r="C1031" s="133" t="s">
        <v>173</v>
      </c>
      <c r="D1031" s="133" t="s">
        <v>216</v>
      </c>
      <c r="E1031" s="133"/>
      <c r="F1031" s="134">
        <f>F1032</f>
        <v>2000</v>
      </c>
      <c r="G1031" s="134">
        <f t="shared" si="209"/>
        <v>2000</v>
      </c>
      <c r="H1031" s="134">
        <f t="shared" si="209"/>
        <v>2000</v>
      </c>
    </row>
    <row r="1032" spans="1:8" ht="36" x14ac:dyDescent="0.2">
      <c r="A1032" s="35" t="s">
        <v>185</v>
      </c>
      <c r="B1032" s="36" t="s">
        <v>363</v>
      </c>
      <c r="C1032" s="36" t="s">
        <v>173</v>
      </c>
      <c r="D1032" s="36" t="s">
        <v>216</v>
      </c>
      <c r="E1032" s="36" t="s">
        <v>186</v>
      </c>
      <c r="F1032" s="46">
        <f>F1033</f>
        <v>2000</v>
      </c>
      <c r="G1032" s="46">
        <f t="shared" si="209"/>
        <v>2000</v>
      </c>
      <c r="H1032" s="46">
        <f t="shared" si="209"/>
        <v>2000</v>
      </c>
    </row>
    <row r="1033" spans="1:8" x14ac:dyDescent="0.2">
      <c r="A1033" s="35" t="s">
        <v>187</v>
      </c>
      <c r="B1033" s="36" t="s">
        <v>363</v>
      </c>
      <c r="C1033" s="36" t="s">
        <v>173</v>
      </c>
      <c r="D1033" s="36" t="s">
        <v>216</v>
      </c>
      <c r="E1033" s="36" t="s">
        <v>188</v>
      </c>
      <c r="F1033" s="150">
        <v>2000</v>
      </c>
      <c r="G1033" s="150">
        <v>2000</v>
      </c>
      <c r="H1033" s="150">
        <v>2000</v>
      </c>
    </row>
    <row r="1034" spans="1:8" ht="13.5" x14ac:dyDescent="0.2">
      <c r="A1034" s="85" t="s">
        <v>369</v>
      </c>
      <c r="B1034" s="79" t="s">
        <v>190</v>
      </c>
      <c r="C1034" s="79"/>
      <c r="D1034" s="79"/>
      <c r="E1034" s="79"/>
      <c r="F1034" s="96">
        <f t="shared" ref="F1034:H1037" si="210">F1035</f>
        <v>14044.96</v>
      </c>
      <c r="G1034" s="96">
        <f t="shared" si="210"/>
        <v>4000</v>
      </c>
      <c r="H1034" s="96">
        <f t="shared" si="210"/>
        <v>6000</v>
      </c>
    </row>
    <row r="1035" spans="1:8" x14ac:dyDescent="0.2">
      <c r="A1035" s="77" t="s">
        <v>367</v>
      </c>
      <c r="B1035" s="74" t="s">
        <v>370</v>
      </c>
      <c r="C1035" s="74" t="s">
        <v>206</v>
      </c>
      <c r="D1035" s="74"/>
      <c r="E1035" s="74"/>
      <c r="F1035" s="45">
        <f t="shared" si="210"/>
        <v>14044.96</v>
      </c>
      <c r="G1035" s="45">
        <f t="shared" si="210"/>
        <v>4000</v>
      </c>
      <c r="H1035" s="45">
        <f t="shared" si="210"/>
        <v>6000</v>
      </c>
    </row>
    <row r="1036" spans="1:8" x14ac:dyDescent="0.2">
      <c r="A1036" s="77" t="s">
        <v>368</v>
      </c>
      <c r="B1036" s="74" t="s">
        <v>370</v>
      </c>
      <c r="C1036" s="74" t="s">
        <v>206</v>
      </c>
      <c r="D1036" s="74" t="s">
        <v>283</v>
      </c>
      <c r="E1036" s="74"/>
      <c r="F1036" s="45">
        <f t="shared" si="210"/>
        <v>14044.96</v>
      </c>
      <c r="G1036" s="45">
        <f t="shared" si="210"/>
        <v>4000</v>
      </c>
      <c r="H1036" s="45">
        <f t="shared" si="210"/>
        <v>6000</v>
      </c>
    </row>
    <row r="1037" spans="1:8" x14ac:dyDescent="0.2">
      <c r="A1037" s="81" t="s">
        <v>815</v>
      </c>
      <c r="B1037" s="12" t="s">
        <v>370</v>
      </c>
      <c r="C1037" s="36" t="s">
        <v>206</v>
      </c>
      <c r="D1037" s="36" t="s">
        <v>283</v>
      </c>
      <c r="E1037" s="36" t="s">
        <v>196</v>
      </c>
      <c r="F1037" s="46">
        <f t="shared" si="210"/>
        <v>14044.96</v>
      </c>
      <c r="G1037" s="46">
        <f t="shared" si="210"/>
        <v>4000</v>
      </c>
      <c r="H1037" s="46">
        <f t="shared" si="210"/>
        <v>6000</v>
      </c>
    </row>
    <row r="1038" spans="1:8" x14ac:dyDescent="0.2">
      <c r="A1038" s="81" t="s">
        <v>197</v>
      </c>
      <c r="B1038" s="12" t="s">
        <v>370</v>
      </c>
      <c r="C1038" s="36" t="s">
        <v>206</v>
      </c>
      <c r="D1038" s="36" t="s">
        <v>283</v>
      </c>
      <c r="E1038" s="36" t="s">
        <v>198</v>
      </c>
      <c r="F1038" s="98">
        <f>8000+2000+2000+344.96+2200-500</f>
        <v>14044.96</v>
      </c>
      <c r="G1038" s="98">
        <v>4000</v>
      </c>
      <c r="H1038" s="98">
        <v>6000</v>
      </c>
    </row>
    <row r="1039" spans="1:8" ht="13.5" x14ac:dyDescent="0.2">
      <c r="A1039" s="85" t="s">
        <v>365</v>
      </c>
      <c r="B1039" s="79" t="s">
        <v>190</v>
      </c>
      <c r="C1039" s="79"/>
      <c r="D1039" s="79"/>
      <c r="E1039" s="79"/>
      <c r="F1039" s="96">
        <f>F1040</f>
        <v>468.8</v>
      </c>
      <c r="G1039" s="96">
        <f t="shared" ref="G1039:H1040" si="211">G1040</f>
        <v>468.8</v>
      </c>
      <c r="H1039" s="96">
        <f t="shared" si="211"/>
        <v>468.8</v>
      </c>
    </row>
    <row r="1040" spans="1:8" x14ac:dyDescent="0.2">
      <c r="A1040" s="29" t="s">
        <v>290</v>
      </c>
      <c r="B1040" s="74" t="s">
        <v>366</v>
      </c>
      <c r="C1040" s="74" t="s">
        <v>177</v>
      </c>
      <c r="D1040" s="74"/>
      <c r="E1040" s="227"/>
      <c r="F1040" s="31">
        <f>F1041</f>
        <v>468.8</v>
      </c>
      <c r="G1040" s="31">
        <f t="shared" si="211"/>
        <v>468.8</v>
      </c>
      <c r="H1040" s="31">
        <f t="shared" si="211"/>
        <v>468.8</v>
      </c>
    </row>
    <row r="1041" spans="1:8" x14ac:dyDescent="0.2">
      <c r="A1041" s="29" t="s">
        <v>364</v>
      </c>
      <c r="B1041" s="74" t="s">
        <v>366</v>
      </c>
      <c r="C1041" s="74" t="s">
        <v>177</v>
      </c>
      <c r="D1041" s="74" t="s">
        <v>173</v>
      </c>
      <c r="E1041" s="74"/>
      <c r="F1041" s="31">
        <f t="shared" ref="F1041:H1043" si="212">F1042</f>
        <v>468.8</v>
      </c>
      <c r="G1041" s="45">
        <f t="shared" si="212"/>
        <v>468.8</v>
      </c>
      <c r="H1041" s="45">
        <f t="shared" si="212"/>
        <v>468.8</v>
      </c>
    </row>
    <row r="1042" spans="1:8" ht="24" x14ac:dyDescent="0.2">
      <c r="A1042" s="129" t="s">
        <v>822</v>
      </c>
      <c r="B1042" s="74" t="s">
        <v>366</v>
      </c>
      <c r="C1042" s="74" t="s">
        <v>177</v>
      </c>
      <c r="D1042" s="74" t="s">
        <v>173</v>
      </c>
      <c r="E1042" s="74"/>
      <c r="F1042" s="31">
        <f t="shared" si="212"/>
        <v>468.8</v>
      </c>
      <c r="G1042" s="45">
        <f t="shared" si="212"/>
        <v>468.8</v>
      </c>
      <c r="H1042" s="45">
        <f t="shared" si="212"/>
        <v>468.8</v>
      </c>
    </row>
    <row r="1043" spans="1:8" x14ac:dyDescent="0.2">
      <c r="A1043" s="35" t="s">
        <v>195</v>
      </c>
      <c r="B1043" s="12" t="s">
        <v>366</v>
      </c>
      <c r="C1043" s="12" t="s">
        <v>177</v>
      </c>
      <c r="D1043" s="12" t="s">
        <v>173</v>
      </c>
      <c r="E1043" s="12" t="s">
        <v>186</v>
      </c>
      <c r="F1043" s="37">
        <f t="shared" si="212"/>
        <v>468.8</v>
      </c>
      <c r="G1043" s="46">
        <f t="shared" si="212"/>
        <v>468.8</v>
      </c>
      <c r="H1043" s="46">
        <f t="shared" si="212"/>
        <v>468.8</v>
      </c>
    </row>
    <row r="1044" spans="1:8" x14ac:dyDescent="0.2">
      <c r="A1044" s="35" t="s">
        <v>197</v>
      </c>
      <c r="B1044" s="12" t="s">
        <v>366</v>
      </c>
      <c r="C1044" s="12" t="s">
        <v>177</v>
      </c>
      <c r="D1044" s="12" t="s">
        <v>173</v>
      </c>
      <c r="E1044" s="12" t="s">
        <v>188</v>
      </c>
      <c r="F1044" s="98">
        <v>468.8</v>
      </c>
      <c r="G1044" s="98">
        <v>468.8</v>
      </c>
      <c r="H1044" s="98">
        <v>468.8</v>
      </c>
    </row>
    <row r="1045" spans="1:8" ht="13.5" x14ac:dyDescent="0.2">
      <c r="A1045" s="80" t="s">
        <v>823</v>
      </c>
      <c r="B1045" s="79" t="s">
        <v>189</v>
      </c>
      <c r="C1045" s="79"/>
      <c r="D1045" s="79"/>
      <c r="E1045" s="79"/>
      <c r="F1045" s="78">
        <f t="shared" ref="F1045:H1049" si="213">F1046</f>
        <v>1403.2600000000016</v>
      </c>
      <c r="G1045" s="78">
        <f t="shared" si="213"/>
        <v>23400</v>
      </c>
      <c r="H1045" s="78">
        <f t="shared" si="213"/>
        <v>3088.0430999999953</v>
      </c>
    </row>
    <row r="1046" spans="1:8" x14ac:dyDescent="0.2">
      <c r="A1046" s="75" t="s">
        <v>824</v>
      </c>
      <c r="B1046" s="74" t="s">
        <v>662</v>
      </c>
      <c r="C1046" s="74" t="s">
        <v>216</v>
      </c>
      <c r="D1046" s="74"/>
      <c r="E1046" s="74"/>
      <c r="F1046" s="31">
        <f t="shared" si="213"/>
        <v>1403.2600000000016</v>
      </c>
      <c r="G1046" s="31">
        <f t="shared" si="213"/>
        <v>23400</v>
      </c>
      <c r="H1046" s="31">
        <f t="shared" si="213"/>
        <v>3088.0430999999953</v>
      </c>
    </row>
    <row r="1047" spans="1:8" ht="15.75" x14ac:dyDescent="0.2">
      <c r="A1047" s="75" t="s">
        <v>823</v>
      </c>
      <c r="B1047" s="74" t="s">
        <v>662</v>
      </c>
      <c r="C1047" s="74" t="s">
        <v>216</v>
      </c>
      <c r="D1047" s="74" t="s">
        <v>173</v>
      </c>
      <c r="E1047" s="94"/>
      <c r="F1047" s="31">
        <f t="shared" si="213"/>
        <v>1403.2600000000016</v>
      </c>
      <c r="G1047" s="31">
        <f t="shared" si="213"/>
        <v>23400</v>
      </c>
      <c r="H1047" s="31">
        <f t="shared" si="213"/>
        <v>3088.0430999999953</v>
      </c>
    </row>
    <row r="1048" spans="1:8" x14ac:dyDescent="0.2">
      <c r="A1048" s="93" t="s">
        <v>663</v>
      </c>
      <c r="B1048" s="92" t="s">
        <v>662</v>
      </c>
      <c r="C1048" s="91" t="s">
        <v>216</v>
      </c>
      <c r="D1048" s="91" t="s">
        <v>173</v>
      </c>
      <c r="E1048" s="91"/>
      <c r="F1048" s="53">
        <f t="shared" si="213"/>
        <v>1403.2600000000016</v>
      </c>
      <c r="G1048" s="53">
        <f t="shared" si="213"/>
        <v>23400</v>
      </c>
      <c r="H1048" s="53">
        <f t="shared" si="213"/>
        <v>3088.0430999999953</v>
      </c>
    </row>
    <row r="1049" spans="1:8" x14ac:dyDescent="0.2">
      <c r="A1049" s="73" t="s">
        <v>664</v>
      </c>
      <c r="B1049" s="12" t="s">
        <v>662</v>
      </c>
      <c r="C1049" s="12" t="s">
        <v>216</v>
      </c>
      <c r="D1049" s="12" t="s">
        <v>173</v>
      </c>
      <c r="E1049" s="12" t="s">
        <v>665</v>
      </c>
      <c r="F1049" s="37">
        <f t="shared" si="213"/>
        <v>1403.2600000000016</v>
      </c>
      <c r="G1049" s="37">
        <f t="shared" si="213"/>
        <v>23400</v>
      </c>
      <c r="H1049" s="37">
        <f t="shared" si="213"/>
        <v>3088.0430999999953</v>
      </c>
    </row>
    <row r="1050" spans="1:8" x14ac:dyDescent="0.2">
      <c r="A1050" s="73" t="s">
        <v>666</v>
      </c>
      <c r="B1050" s="12" t="s">
        <v>662</v>
      </c>
      <c r="C1050" s="12" t="s">
        <v>216</v>
      </c>
      <c r="D1050" s="12" t="s">
        <v>173</v>
      </c>
      <c r="E1050" s="12" t="s">
        <v>667</v>
      </c>
      <c r="F1050" s="98">
        <f>73000-51352.1-2000-17000-973-271.64</f>
        <v>1403.2600000000016</v>
      </c>
      <c r="G1050" s="98">
        <f>103000-30000-49600</f>
        <v>23400</v>
      </c>
      <c r="H1050" s="98">
        <f>103000-30000-69911.9569</f>
        <v>3088.0430999999953</v>
      </c>
    </row>
    <row r="1051" spans="1:8" ht="27" x14ac:dyDescent="0.2">
      <c r="A1051" s="85" t="s">
        <v>278</v>
      </c>
      <c r="B1051" s="79" t="s">
        <v>190</v>
      </c>
      <c r="C1051" s="79"/>
      <c r="D1051" s="79"/>
      <c r="E1051" s="90"/>
      <c r="F1051" s="78">
        <f t="shared" ref="F1051:H1054" si="214">F1052</f>
        <v>1073</v>
      </c>
      <c r="G1051" s="78">
        <f t="shared" si="214"/>
        <v>500</v>
      </c>
      <c r="H1051" s="78">
        <f t="shared" si="214"/>
        <v>500</v>
      </c>
    </row>
    <row r="1052" spans="1:8" x14ac:dyDescent="0.2">
      <c r="A1052" s="77" t="s">
        <v>172</v>
      </c>
      <c r="B1052" s="74" t="s">
        <v>279</v>
      </c>
      <c r="C1052" s="74" t="s">
        <v>173</v>
      </c>
      <c r="D1052" s="83"/>
      <c r="E1052" s="89"/>
      <c r="F1052" s="31">
        <f t="shared" si="214"/>
        <v>1073</v>
      </c>
      <c r="G1052" s="31">
        <f t="shared" si="214"/>
        <v>500</v>
      </c>
      <c r="H1052" s="31">
        <f t="shared" si="214"/>
        <v>500</v>
      </c>
    </row>
    <row r="1053" spans="1:8" x14ac:dyDescent="0.2">
      <c r="A1053" s="77" t="s">
        <v>818</v>
      </c>
      <c r="B1053" s="74" t="s">
        <v>279</v>
      </c>
      <c r="C1053" s="74" t="s">
        <v>173</v>
      </c>
      <c r="D1053" s="74" t="s">
        <v>216</v>
      </c>
      <c r="E1053" s="74"/>
      <c r="F1053" s="31">
        <f t="shared" si="214"/>
        <v>1073</v>
      </c>
      <c r="G1053" s="31">
        <f t="shared" si="214"/>
        <v>500</v>
      </c>
      <c r="H1053" s="31">
        <f t="shared" si="214"/>
        <v>500</v>
      </c>
    </row>
    <row r="1054" spans="1:8" x14ac:dyDescent="0.2">
      <c r="A1054" s="81" t="s">
        <v>815</v>
      </c>
      <c r="B1054" s="12" t="s">
        <v>279</v>
      </c>
      <c r="C1054" s="12" t="s">
        <v>173</v>
      </c>
      <c r="D1054" s="12" t="s">
        <v>216</v>
      </c>
      <c r="E1054" s="88">
        <v>200</v>
      </c>
      <c r="F1054" s="37">
        <f t="shared" si="214"/>
        <v>1073</v>
      </c>
      <c r="G1054" s="37">
        <f t="shared" si="214"/>
        <v>500</v>
      </c>
      <c r="H1054" s="37">
        <f t="shared" si="214"/>
        <v>500</v>
      </c>
    </row>
    <row r="1055" spans="1:8" x14ac:dyDescent="0.2">
      <c r="A1055" s="81" t="s">
        <v>197</v>
      </c>
      <c r="B1055" s="12" t="s">
        <v>279</v>
      </c>
      <c r="C1055" s="12" t="s">
        <v>173</v>
      </c>
      <c r="D1055" s="12" t="s">
        <v>216</v>
      </c>
      <c r="E1055" s="12" t="s">
        <v>198</v>
      </c>
      <c r="F1055" s="98">
        <v>1073</v>
      </c>
      <c r="G1055" s="98">
        <v>500</v>
      </c>
      <c r="H1055" s="98">
        <v>500</v>
      </c>
    </row>
    <row r="1056" spans="1:8" ht="13.5" x14ac:dyDescent="0.2">
      <c r="A1056" s="80" t="s">
        <v>315</v>
      </c>
      <c r="B1056" s="79" t="s">
        <v>189</v>
      </c>
      <c r="C1056" s="79"/>
      <c r="D1056" s="79"/>
      <c r="E1056" s="79"/>
      <c r="F1056" s="78">
        <f t="shared" ref="F1056:H1059" si="215">F1057</f>
        <v>1073</v>
      </c>
      <c r="G1056" s="78">
        <f t="shared" si="215"/>
        <v>500</v>
      </c>
      <c r="H1056" s="78">
        <f t="shared" si="215"/>
        <v>500</v>
      </c>
    </row>
    <row r="1057" spans="1:8" ht="13.5" x14ac:dyDescent="0.2">
      <c r="A1057" s="77" t="s">
        <v>290</v>
      </c>
      <c r="B1057" s="74" t="s">
        <v>316</v>
      </c>
      <c r="C1057" s="74" t="s">
        <v>177</v>
      </c>
      <c r="D1057" s="87"/>
      <c r="E1057" s="87"/>
      <c r="F1057" s="31">
        <f t="shared" si="215"/>
        <v>1073</v>
      </c>
      <c r="G1057" s="31">
        <f t="shared" si="215"/>
        <v>500</v>
      </c>
      <c r="H1057" s="31">
        <f t="shared" si="215"/>
        <v>500</v>
      </c>
    </row>
    <row r="1058" spans="1:8" ht="13.5" x14ac:dyDescent="0.2">
      <c r="A1058" s="77" t="s">
        <v>291</v>
      </c>
      <c r="B1058" s="74" t="s">
        <v>316</v>
      </c>
      <c r="C1058" s="74" t="s">
        <v>177</v>
      </c>
      <c r="D1058" s="74" t="s">
        <v>292</v>
      </c>
      <c r="E1058" s="87"/>
      <c r="F1058" s="31">
        <f t="shared" si="215"/>
        <v>1073</v>
      </c>
      <c r="G1058" s="31">
        <f t="shared" si="215"/>
        <v>500</v>
      </c>
      <c r="H1058" s="31">
        <f t="shared" si="215"/>
        <v>500</v>
      </c>
    </row>
    <row r="1059" spans="1:8" x14ac:dyDescent="0.2">
      <c r="A1059" s="73" t="s">
        <v>815</v>
      </c>
      <c r="B1059" s="12" t="s">
        <v>316</v>
      </c>
      <c r="C1059" s="12" t="s">
        <v>177</v>
      </c>
      <c r="D1059" s="12" t="s">
        <v>292</v>
      </c>
      <c r="E1059" s="12" t="s">
        <v>196</v>
      </c>
      <c r="F1059" s="46">
        <f t="shared" si="215"/>
        <v>1073</v>
      </c>
      <c r="G1059" s="46">
        <f t="shared" si="215"/>
        <v>500</v>
      </c>
      <c r="H1059" s="46">
        <f t="shared" si="215"/>
        <v>500</v>
      </c>
    </row>
    <row r="1060" spans="1:8" x14ac:dyDescent="0.2">
      <c r="A1060" s="73" t="s">
        <v>197</v>
      </c>
      <c r="B1060" s="36" t="s">
        <v>316</v>
      </c>
      <c r="C1060" s="12" t="s">
        <v>177</v>
      </c>
      <c r="D1060" s="12" t="s">
        <v>292</v>
      </c>
      <c r="E1060" s="12" t="s">
        <v>198</v>
      </c>
      <c r="F1060" s="98">
        <v>1073</v>
      </c>
      <c r="G1060" s="98">
        <v>500</v>
      </c>
      <c r="H1060" s="98">
        <v>500</v>
      </c>
    </row>
    <row r="1061" spans="1:8" ht="13.5" x14ac:dyDescent="0.2">
      <c r="A1061" s="85" t="s">
        <v>280</v>
      </c>
      <c r="B1061" s="79" t="s">
        <v>190</v>
      </c>
      <c r="C1061" s="79"/>
      <c r="D1061" s="79"/>
      <c r="E1061" s="79"/>
      <c r="F1061" s="86">
        <f t="shared" ref="F1061:H1064" si="216">F1062</f>
        <v>650</v>
      </c>
      <c r="G1061" s="86">
        <f t="shared" si="216"/>
        <v>0</v>
      </c>
      <c r="H1061" s="86">
        <f t="shared" si="216"/>
        <v>0</v>
      </c>
    </row>
    <row r="1062" spans="1:8" x14ac:dyDescent="0.2">
      <c r="A1062" s="77" t="s">
        <v>172</v>
      </c>
      <c r="B1062" s="74" t="s">
        <v>281</v>
      </c>
      <c r="C1062" s="76" t="s">
        <v>173</v>
      </c>
      <c r="D1062" s="76"/>
      <c r="E1062" s="76"/>
      <c r="F1062" s="45">
        <f t="shared" si="216"/>
        <v>650</v>
      </c>
      <c r="G1062" s="45">
        <f t="shared" si="216"/>
        <v>0</v>
      </c>
      <c r="H1062" s="45">
        <f t="shared" si="216"/>
        <v>0</v>
      </c>
    </row>
    <row r="1063" spans="1:8" x14ac:dyDescent="0.2">
      <c r="A1063" s="77" t="s">
        <v>818</v>
      </c>
      <c r="B1063" s="74" t="s">
        <v>281</v>
      </c>
      <c r="C1063" s="76" t="s">
        <v>173</v>
      </c>
      <c r="D1063" s="76" t="s">
        <v>216</v>
      </c>
      <c r="E1063" s="76"/>
      <c r="F1063" s="45">
        <f>F1064</f>
        <v>650</v>
      </c>
      <c r="G1063" s="45">
        <f t="shared" si="216"/>
        <v>0</v>
      </c>
      <c r="H1063" s="45">
        <f t="shared" si="216"/>
        <v>0</v>
      </c>
    </row>
    <row r="1064" spans="1:8" x14ac:dyDescent="0.2">
      <c r="A1064" s="81" t="s">
        <v>815</v>
      </c>
      <c r="B1064" s="12" t="s">
        <v>281</v>
      </c>
      <c r="C1064" s="12" t="s">
        <v>173</v>
      </c>
      <c r="D1064" s="12" t="s">
        <v>216</v>
      </c>
      <c r="E1064" s="12" t="s">
        <v>196</v>
      </c>
      <c r="F1064" s="98">
        <f>F1065</f>
        <v>650</v>
      </c>
      <c r="G1064" s="139">
        <f t="shared" si="216"/>
        <v>0</v>
      </c>
      <c r="H1064" s="139">
        <f t="shared" si="216"/>
        <v>0</v>
      </c>
    </row>
    <row r="1065" spans="1:8" x14ac:dyDescent="0.2">
      <c r="A1065" s="81" t="s">
        <v>197</v>
      </c>
      <c r="B1065" s="12" t="s">
        <v>281</v>
      </c>
      <c r="C1065" s="12" t="s">
        <v>173</v>
      </c>
      <c r="D1065" s="12" t="s">
        <v>216</v>
      </c>
      <c r="E1065" s="12" t="s">
        <v>198</v>
      </c>
      <c r="F1065" s="98">
        <v>650</v>
      </c>
      <c r="G1065" s="115">
        <v>0</v>
      </c>
      <c r="H1065" s="115">
        <v>0</v>
      </c>
    </row>
    <row r="1066" spans="1:8" ht="13.5" x14ac:dyDescent="0.2">
      <c r="A1066" s="85" t="s">
        <v>825</v>
      </c>
      <c r="B1066" s="79" t="s">
        <v>190</v>
      </c>
      <c r="C1066" s="79"/>
      <c r="D1066" s="79"/>
      <c r="E1066" s="79"/>
      <c r="F1066" s="86">
        <f>F1072+F1067</f>
        <v>30083.811300000001</v>
      </c>
      <c r="G1066" s="86">
        <f>G1072+G1067</f>
        <v>16850.2</v>
      </c>
      <c r="H1066" s="86">
        <f>H1072+H1067</f>
        <v>3000</v>
      </c>
    </row>
    <row r="1067" spans="1:8" x14ac:dyDescent="0.2">
      <c r="A1067" s="77" t="s">
        <v>321</v>
      </c>
      <c r="B1067" s="74" t="s">
        <v>335</v>
      </c>
      <c r="C1067" s="74" t="s">
        <v>284</v>
      </c>
      <c r="D1067" s="74"/>
      <c r="E1067" s="74"/>
      <c r="F1067" s="127">
        <f t="shared" ref="F1067:H1070" si="217">F1068</f>
        <v>20322.650880000001</v>
      </c>
      <c r="G1067" s="127">
        <f t="shared" si="217"/>
        <v>13850.2</v>
      </c>
      <c r="H1067" s="127">
        <f t="shared" si="217"/>
        <v>0</v>
      </c>
    </row>
    <row r="1068" spans="1:8" x14ac:dyDescent="0.2">
      <c r="A1068" s="77" t="s">
        <v>329</v>
      </c>
      <c r="B1068" s="74" t="s">
        <v>335</v>
      </c>
      <c r="C1068" s="74" t="s">
        <v>284</v>
      </c>
      <c r="D1068" s="74" t="s">
        <v>283</v>
      </c>
      <c r="E1068" s="74"/>
      <c r="F1068" s="127">
        <f t="shared" si="217"/>
        <v>20322.650880000001</v>
      </c>
      <c r="G1068" s="127">
        <f t="shared" si="217"/>
        <v>13850.2</v>
      </c>
      <c r="H1068" s="127">
        <f t="shared" si="217"/>
        <v>0</v>
      </c>
    </row>
    <row r="1069" spans="1:8" x14ac:dyDescent="0.2">
      <c r="A1069" s="75" t="s">
        <v>334</v>
      </c>
      <c r="B1069" s="74" t="s">
        <v>335</v>
      </c>
      <c r="C1069" s="74" t="s">
        <v>284</v>
      </c>
      <c r="D1069" s="74" t="s">
        <v>283</v>
      </c>
      <c r="E1069" s="74"/>
      <c r="F1069" s="127">
        <f t="shared" si="217"/>
        <v>20322.650880000001</v>
      </c>
      <c r="G1069" s="127">
        <f t="shared" si="217"/>
        <v>13850.2</v>
      </c>
      <c r="H1069" s="127">
        <f t="shared" si="217"/>
        <v>0</v>
      </c>
    </row>
    <row r="1070" spans="1:8" x14ac:dyDescent="0.2">
      <c r="A1070" s="81" t="s">
        <v>325</v>
      </c>
      <c r="B1070" s="12" t="s">
        <v>335</v>
      </c>
      <c r="C1070" s="12" t="s">
        <v>284</v>
      </c>
      <c r="D1070" s="12" t="s">
        <v>283</v>
      </c>
      <c r="E1070" s="12" t="s">
        <v>326</v>
      </c>
      <c r="F1070" s="115">
        <f t="shared" si="217"/>
        <v>20322.650880000001</v>
      </c>
      <c r="G1070" s="115">
        <f t="shared" si="217"/>
        <v>13850.2</v>
      </c>
      <c r="H1070" s="115">
        <f t="shared" si="217"/>
        <v>0</v>
      </c>
    </row>
    <row r="1071" spans="1:8" x14ac:dyDescent="0.2">
      <c r="A1071" s="81" t="s">
        <v>336</v>
      </c>
      <c r="B1071" s="12" t="s">
        <v>335</v>
      </c>
      <c r="C1071" s="12" t="s">
        <v>284</v>
      </c>
      <c r="D1071" s="12" t="s">
        <v>283</v>
      </c>
      <c r="E1071" s="12" t="s">
        <v>337</v>
      </c>
      <c r="F1071" s="98">
        <f>11106.8+9215.85088</f>
        <v>20322.650880000001</v>
      </c>
      <c r="G1071" s="115">
        <v>13850.2</v>
      </c>
      <c r="H1071" s="115">
        <f>13297.1-13297.1</f>
        <v>0</v>
      </c>
    </row>
    <row r="1072" spans="1:8" x14ac:dyDescent="0.2">
      <c r="A1072" s="77" t="s">
        <v>321</v>
      </c>
      <c r="B1072" s="74" t="s">
        <v>339</v>
      </c>
      <c r="C1072" s="74" t="s">
        <v>284</v>
      </c>
      <c r="D1072" s="74"/>
      <c r="E1072" s="74"/>
      <c r="F1072" s="45">
        <f t="shared" ref="F1072:H1075" si="218">F1073</f>
        <v>9761.1604200000002</v>
      </c>
      <c r="G1072" s="45">
        <f t="shared" si="218"/>
        <v>3000</v>
      </c>
      <c r="H1072" s="45">
        <f t="shared" si="218"/>
        <v>3000</v>
      </c>
    </row>
    <row r="1073" spans="1:8" x14ac:dyDescent="0.2">
      <c r="A1073" s="77" t="s">
        <v>329</v>
      </c>
      <c r="B1073" s="74" t="s">
        <v>339</v>
      </c>
      <c r="C1073" s="74" t="s">
        <v>284</v>
      </c>
      <c r="D1073" s="74" t="s">
        <v>283</v>
      </c>
      <c r="E1073" s="74"/>
      <c r="F1073" s="45">
        <f t="shared" si="218"/>
        <v>9761.1604200000002</v>
      </c>
      <c r="G1073" s="45">
        <f t="shared" si="218"/>
        <v>3000</v>
      </c>
      <c r="H1073" s="45">
        <f t="shared" si="218"/>
        <v>3000</v>
      </c>
    </row>
    <row r="1074" spans="1:8" x14ac:dyDescent="0.2">
      <c r="A1074" s="75" t="s">
        <v>826</v>
      </c>
      <c r="B1074" s="74" t="s">
        <v>339</v>
      </c>
      <c r="C1074" s="74" t="s">
        <v>284</v>
      </c>
      <c r="D1074" s="74" t="s">
        <v>283</v>
      </c>
      <c r="E1074" s="74"/>
      <c r="F1074" s="45">
        <f t="shared" si="218"/>
        <v>9761.1604200000002</v>
      </c>
      <c r="G1074" s="45">
        <f t="shared" si="218"/>
        <v>3000</v>
      </c>
      <c r="H1074" s="45">
        <f t="shared" si="218"/>
        <v>3000</v>
      </c>
    </row>
    <row r="1075" spans="1:8" x14ac:dyDescent="0.2">
      <c r="A1075" s="81" t="s">
        <v>325</v>
      </c>
      <c r="B1075" s="12" t="s">
        <v>339</v>
      </c>
      <c r="C1075" s="12" t="s">
        <v>284</v>
      </c>
      <c r="D1075" s="12" t="s">
        <v>283</v>
      </c>
      <c r="E1075" s="12" t="s">
        <v>326</v>
      </c>
      <c r="F1075" s="46">
        <f t="shared" si="218"/>
        <v>9761.1604200000002</v>
      </c>
      <c r="G1075" s="46">
        <f t="shared" si="218"/>
        <v>3000</v>
      </c>
      <c r="H1075" s="46">
        <f t="shared" si="218"/>
        <v>3000</v>
      </c>
    </row>
    <row r="1076" spans="1:8" x14ac:dyDescent="0.2">
      <c r="A1076" s="81" t="s">
        <v>336</v>
      </c>
      <c r="B1076" s="12" t="s">
        <v>339</v>
      </c>
      <c r="C1076" s="12" t="s">
        <v>284</v>
      </c>
      <c r="D1076" s="12" t="s">
        <v>283</v>
      </c>
      <c r="E1076" s="12" t="s">
        <v>337</v>
      </c>
      <c r="F1076" s="37">
        <f>3000+7500-600-138.83958</f>
        <v>9761.1604200000002</v>
      </c>
      <c r="G1076" s="98">
        <v>3000</v>
      </c>
      <c r="H1076" s="98">
        <v>3000</v>
      </c>
    </row>
    <row r="1077" spans="1:8" ht="27" x14ac:dyDescent="0.2">
      <c r="A1077" s="85" t="s">
        <v>759</v>
      </c>
      <c r="B1077" s="79" t="s">
        <v>827</v>
      </c>
      <c r="C1077" s="79"/>
      <c r="D1077" s="79"/>
      <c r="E1077" s="79"/>
      <c r="F1077" s="78">
        <f>F1078+F1083</f>
        <v>2399</v>
      </c>
      <c r="G1077" s="78">
        <f>G1078+G1083</f>
        <v>2495</v>
      </c>
      <c r="H1077" s="78">
        <f>H1078+H1083</f>
        <v>2594.8000000000002</v>
      </c>
    </row>
    <row r="1078" spans="1:8" x14ac:dyDescent="0.2">
      <c r="A1078" s="77" t="s">
        <v>761</v>
      </c>
      <c r="B1078" s="74" t="s">
        <v>827</v>
      </c>
      <c r="C1078" s="74"/>
      <c r="D1078" s="74"/>
      <c r="E1078" s="74"/>
      <c r="F1078" s="31">
        <f t="shared" ref="F1078:H1081" si="219">F1079</f>
        <v>2387</v>
      </c>
      <c r="G1078" s="31">
        <f t="shared" si="219"/>
        <v>2483</v>
      </c>
      <c r="H1078" s="31">
        <f t="shared" si="219"/>
        <v>2582.8000000000002</v>
      </c>
    </row>
    <row r="1079" spans="1:8" x14ac:dyDescent="0.2">
      <c r="A1079" s="77" t="s">
        <v>172</v>
      </c>
      <c r="B1079" s="74" t="s">
        <v>760</v>
      </c>
      <c r="C1079" s="76" t="s">
        <v>173</v>
      </c>
      <c r="D1079" s="76"/>
      <c r="E1079" s="12"/>
      <c r="F1079" s="31">
        <f t="shared" si="219"/>
        <v>2387</v>
      </c>
      <c r="G1079" s="31">
        <f t="shared" si="219"/>
        <v>2483</v>
      </c>
      <c r="H1079" s="31">
        <f t="shared" si="219"/>
        <v>2582.8000000000002</v>
      </c>
    </row>
    <row r="1080" spans="1:8" x14ac:dyDescent="0.2">
      <c r="A1080" s="77" t="s">
        <v>818</v>
      </c>
      <c r="B1080" s="74" t="s">
        <v>760</v>
      </c>
      <c r="C1080" s="76" t="s">
        <v>173</v>
      </c>
      <c r="D1080" s="76" t="s">
        <v>216</v>
      </c>
      <c r="E1080" s="83"/>
      <c r="F1080" s="41">
        <f>F1081</f>
        <v>2387</v>
      </c>
      <c r="G1080" s="41">
        <f t="shared" si="219"/>
        <v>2483</v>
      </c>
      <c r="H1080" s="41">
        <f t="shared" si="219"/>
        <v>2582.8000000000002</v>
      </c>
    </row>
    <row r="1081" spans="1:8" ht="36" x14ac:dyDescent="0.2">
      <c r="A1081" s="81" t="s">
        <v>185</v>
      </c>
      <c r="B1081" s="12" t="s">
        <v>760</v>
      </c>
      <c r="C1081" s="12" t="s">
        <v>173</v>
      </c>
      <c r="D1081" s="12" t="s">
        <v>216</v>
      </c>
      <c r="E1081" s="12" t="s">
        <v>186</v>
      </c>
      <c r="F1081" s="37">
        <f t="shared" si="219"/>
        <v>2387</v>
      </c>
      <c r="G1081" s="37">
        <f t="shared" si="219"/>
        <v>2483</v>
      </c>
      <c r="H1081" s="37">
        <f t="shared" si="219"/>
        <v>2582.8000000000002</v>
      </c>
    </row>
    <row r="1082" spans="1:8" x14ac:dyDescent="0.2">
      <c r="A1082" s="81" t="s">
        <v>187</v>
      </c>
      <c r="B1082" s="12" t="s">
        <v>760</v>
      </c>
      <c r="C1082" s="12" t="s">
        <v>173</v>
      </c>
      <c r="D1082" s="12" t="s">
        <v>216</v>
      </c>
      <c r="E1082" s="12" t="s">
        <v>188</v>
      </c>
      <c r="F1082" s="98">
        <f>2376+11</f>
        <v>2387</v>
      </c>
      <c r="G1082" s="98">
        <f>2471.6+11.4</f>
        <v>2483</v>
      </c>
      <c r="H1082" s="98">
        <f>2570.9+11.9</f>
        <v>2582.8000000000002</v>
      </c>
    </row>
    <row r="1083" spans="1:8" x14ac:dyDescent="0.2">
      <c r="A1083" s="77" t="s">
        <v>762</v>
      </c>
      <c r="B1083" s="74" t="s">
        <v>827</v>
      </c>
      <c r="C1083" s="74"/>
      <c r="D1083" s="74"/>
      <c r="E1083" s="74"/>
      <c r="F1083" s="45">
        <f>F1084</f>
        <v>12</v>
      </c>
      <c r="G1083" s="45">
        <f t="shared" ref="G1083:H1086" si="220">G1084</f>
        <v>12</v>
      </c>
      <c r="H1083" s="45">
        <f t="shared" si="220"/>
        <v>12</v>
      </c>
    </row>
    <row r="1084" spans="1:8" x14ac:dyDescent="0.2">
      <c r="A1084" s="77" t="s">
        <v>172</v>
      </c>
      <c r="B1084" s="74" t="s">
        <v>760</v>
      </c>
      <c r="C1084" s="76" t="s">
        <v>173</v>
      </c>
      <c r="D1084" s="76"/>
      <c r="E1084" s="74"/>
      <c r="F1084" s="45">
        <f>F1085</f>
        <v>12</v>
      </c>
      <c r="G1084" s="45">
        <f t="shared" si="220"/>
        <v>12</v>
      </c>
      <c r="H1084" s="45">
        <f t="shared" si="220"/>
        <v>12</v>
      </c>
    </row>
    <row r="1085" spans="1:8" x14ac:dyDescent="0.2">
      <c r="A1085" s="77" t="s">
        <v>818</v>
      </c>
      <c r="B1085" s="74" t="s">
        <v>760</v>
      </c>
      <c r="C1085" s="76" t="s">
        <v>173</v>
      </c>
      <c r="D1085" s="76" t="s">
        <v>216</v>
      </c>
      <c r="E1085" s="74"/>
      <c r="F1085" s="45">
        <f>F1086</f>
        <v>12</v>
      </c>
      <c r="G1085" s="45">
        <f t="shared" si="220"/>
        <v>12</v>
      </c>
      <c r="H1085" s="45">
        <f t="shared" si="220"/>
        <v>12</v>
      </c>
    </row>
    <row r="1086" spans="1:8" x14ac:dyDescent="0.2">
      <c r="A1086" s="73" t="s">
        <v>815</v>
      </c>
      <c r="B1086" s="12" t="s">
        <v>760</v>
      </c>
      <c r="C1086" s="12" t="s">
        <v>173</v>
      </c>
      <c r="D1086" s="12" t="s">
        <v>216</v>
      </c>
      <c r="E1086" s="12" t="s">
        <v>196</v>
      </c>
      <c r="F1086" s="46">
        <f>F1087</f>
        <v>12</v>
      </c>
      <c r="G1086" s="46">
        <f t="shared" si="220"/>
        <v>12</v>
      </c>
      <c r="H1086" s="46">
        <f t="shared" si="220"/>
        <v>12</v>
      </c>
    </row>
    <row r="1087" spans="1:8" x14ac:dyDescent="0.2">
      <c r="A1087" s="73" t="s">
        <v>197</v>
      </c>
      <c r="B1087" s="12" t="s">
        <v>760</v>
      </c>
      <c r="C1087" s="12" t="s">
        <v>173</v>
      </c>
      <c r="D1087" s="12" t="s">
        <v>216</v>
      </c>
      <c r="E1087" s="12" t="s">
        <v>198</v>
      </c>
      <c r="F1087" s="98">
        <v>12</v>
      </c>
      <c r="G1087" s="98">
        <v>12</v>
      </c>
      <c r="H1087" s="98">
        <v>12</v>
      </c>
    </row>
    <row r="1088" spans="1:8" ht="27" x14ac:dyDescent="0.2">
      <c r="A1088" s="80" t="s">
        <v>207</v>
      </c>
      <c r="B1088" s="79" t="s">
        <v>190</v>
      </c>
      <c r="C1088" s="79"/>
      <c r="D1088" s="79"/>
      <c r="E1088" s="79"/>
      <c r="F1088" s="78">
        <f t="shared" ref="F1088:H1091" si="221">F1089</f>
        <v>21.8</v>
      </c>
      <c r="G1088" s="78">
        <f t="shared" si="221"/>
        <v>23.1</v>
      </c>
      <c r="H1088" s="78">
        <f t="shared" si="221"/>
        <v>20.8</v>
      </c>
    </row>
    <row r="1089" spans="1:8" x14ac:dyDescent="0.2">
      <c r="A1089" s="77" t="s">
        <v>172</v>
      </c>
      <c r="B1089" s="74" t="s">
        <v>208</v>
      </c>
      <c r="C1089" s="76" t="s">
        <v>173</v>
      </c>
      <c r="D1089" s="74"/>
      <c r="E1089" s="74"/>
      <c r="F1089" s="31">
        <f t="shared" si="221"/>
        <v>21.8</v>
      </c>
      <c r="G1089" s="31">
        <f t="shared" si="221"/>
        <v>23.1</v>
      </c>
      <c r="H1089" s="31">
        <f t="shared" si="221"/>
        <v>20.8</v>
      </c>
    </row>
    <row r="1090" spans="1:8" x14ac:dyDescent="0.2">
      <c r="A1090" s="75" t="s">
        <v>205</v>
      </c>
      <c r="B1090" s="74" t="s">
        <v>208</v>
      </c>
      <c r="C1090" s="74" t="s">
        <v>173</v>
      </c>
      <c r="D1090" s="74" t="s">
        <v>206</v>
      </c>
      <c r="E1090" s="74"/>
      <c r="F1090" s="31">
        <f t="shared" si="221"/>
        <v>21.8</v>
      </c>
      <c r="G1090" s="31">
        <f t="shared" si="221"/>
        <v>23.1</v>
      </c>
      <c r="H1090" s="31">
        <f t="shared" si="221"/>
        <v>20.8</v>
      </c>
    </row>
    <row r="1091" spans="1:8" x14ac:dyDescent="0.2">
      <c r="A1091" s="73" t="s">
        <v>815</v>
      </c>
      <c r="B1091" s="12" t="s">
        <v>208</v>
      </c>
      <c r="C1091" s="12" t="s">
        <v>173</v>
      </c>
      <c r="D1091" s="12" t="s">
        <v>206</v>
      </c>
      <c r="E1091" s="12" t="s">
        <v>196</v>
      </c>
      <c r="F1091" s="37">
        <f t="shared" si="221"/>
        <v>21.8</v>
      </c>
      <c r="G1091" s="37">
        <f t="shared" si="221"/>
        <v>23.1</v>
      </c>
      <c r="H1091" s="37">
        <f t="shared" si="221"/>
        <v>20.8</v>
      </c>
    </row>
    <row r="1092" spans="1:8" x14ac:dyDescent="0.2">
      <c r="A1092" s="73" t="s">
        <v>197</v>
      </c>
      <c r="B1092" s="12" t="s">
        <v>208</v>
      </c>
      <c r="C1092" s="12" t="s">
        <v>173</v>
      </c>
      <c r="D1092" s="12" t="s">
        <v>206</v>
      </c>
      <c r="E1092" s="12" t="s">
        <v>198</v>
      </c>
      <c r="F1092" s="98">
        <v>21.8</v>
      </c>
      <c r="G1092" s="98">
        <v>23.1</v>
      </c>
      <c r="H1092" s="98">
        <v>20.8</v>
      </c>
    </row>
    <row r="1093" spans="1:8" ht="13.5" x14ac:dyDescent="0.2">
      <c r="A1093" s="80" t="s">
        <v>348</v>
      </c>
      <c r="B1093" s="79" t="s">
        <v>349</v>
      </c>
      <c r="C1093" s="79"/>
      <c r="D1093" s="79"/>
      <c r="E1093" s="79"/>
      <c r="F1093" s="78">
        <f t="shared" ref="F1093:G1096" si="222">F1094</f>
        <v>26360</v>
      </c>
      <c r="G1093" s="86">
        <f t="shared" si="222"/>
        <v>0</v>
      </c>
      <c r="H1093" s="86">
        <f>H1094</f>
        <v>0</v>
      </c>
    </row>
    <row r="1094" spans="1:8" x14ac:dyDescent="0.2">
      <c r="A1094" s="57" t="s">
        <v>321</v>
      </c>
      <c r="B1094" s="133" t="s">
        <v>349</v>
      </c>
      <c r="C1094" s="133" t="s">
        <v>284</v>
      </c>
      <c r="D1094" s="133"/>
      <c r="E1094" s="133"/>
      <c r="F1094" s="64">
        <f t="shared" si="222"/>
        <v>26360</v>
      </c>
      <c r="G1094" s="134">
        <f t="shared" si="222"/>
        <v>0</v>
      </c>
      <c r="H1094" s="134">
        <f>H1095</f>
        <v>0</v>
      </c>
    </row>
    <row r="1095" spans="1:8" x14ac:dyDescent="0.2">
      <c r="A1095" s="57" t="s">
        <v>329</v>
      </c>
      <c r="B1095" s="133" t="s">
        <v>349</v>
      </c>
      <c r="C1095" s="133" t="s">
        <v>284</v>
      </c>
      <c r="D1095" s="133" t="s">
        <v>283</v>
      </c>
      <c r="E1095" s="133"/>
      <c r="F1095" s="64">
        <f t="shared" si="222"/>
        <v>26360</v>
      </c>
      <c r="G1095" s="134">
        <f t="shared" si="222"/>
        <v>0</v>
      </c>
      <c r="H1095" s="134">
        <f>H1096</f>
        <v>0</v>
      </c>
    </row>
    <row r="1096" spans="1:8" x14ac:dyDescent="0.2">
      <c r="A1096" s="35" t="s">
        <v>325</v>
      </c>
      <c r="B1096" s="36" t="s">
        <v>349</v>
      </c>
      <c r="C1096" s="36" t="s">
        <v>284</v>
      </c>
      <c r="D1096" s="36" t="s">
        <v>283</v>
      </c>
      <c r="E1096" s="36" t="s">
        <v>326</v>
      </c>
      <c r="F1096" s="37">
        <f t="shared" si="222"/>
        <v>26360</v>
      </c>
      <c r="G1096" s="46">
        <f t="shared" si="222"/>
        <v>0</v>
      </c>
      <c r="H1096" s="46">
        <f>H1097</f>
        <v>0</v>
      </c>
    </row>
    <row r="1097" spans="1:8" x14ac:dyDescent="0.2">
      <c r="A1097" s="35" t="s">
        <v>336</v>
      </c>
      <c r="B1097" s="36" t="s">
        <v>349</v>
      </c>
      <c r="C1097" s="36" t="s">
        <v>284</v>
      </c>
      <c r="D1097" s="36" t="s">
        <v>283</v>
      </c>
      <c r="E1097" s="36" t="s">
        <v>337</v>
      </c>
      <c r="F1097" s="37">
        <v>26360</v>
      </c>
      <c r="G1097" s="46">
        <v>0</v>
      </c>
      <c r="H1097" s="46">
        <v>0</v>
      </c>
    </row>
    <row r="1098" spans="1:8" ht="13.5" x14ac:dyDescent="0.2">
      <c r="A1098" s="120" t="s">
        <v>203</v>
      </c>
      <c r="B1098" s="79" t="s">
        <v>190</v>
      </c>
      <c r="C1098" s="109"/>
      <c r="D1098" s="109"/>
      <c r="E1098" s="109"/>
      <c r="F1098" s="96">
        <f>F1099+F1103+F1107+F1111+F1115+F1119+F1123</f>
        <v>10954</v>
      </c>
      <c r="G1098" s="96">
        <f>G1099+G1103+G1107+G1111+G1115+G1119+G1123</f>
        <v>0</v>
      </c>
      <c r="H1098" s="96">
        <f>H1099+H1103+H1107+H1111+H1115+H1119+H1123</f>
        <v>0</v>
      </c>
    </row>
    <row r="1099" spans="1:8" x14ac:dyDescent="0.2">
      <c r="A1099" s="77" t="s">
        <v>172</v>
      </c>
      <c r="B1099" s="30" t="s">
        <v>204</v>
      </c>
      <c r="C1099" s="30" t="s">
        <v>173</v>
      </c>
      <c r="D1099" s="30"/>
      <c r="E1099" s="30"/>
      <c r="F1099" s="45">
        <f t="shared" ref="F1099:H1101" si="223">F1100</f>
        <v>7018.2663300000013</v>
      </c>
      <c r="G1099" s="239">
        <f t="shared" si="223"/>
        <v>0</v>
      </c>
      <c r="H1099" s="239">
        <f t="shared" si="223"/>
        <v>0</v>
      </c>
    </row>
    <row r="1100" spans="1:8" ht="24" x14ac:dyDescent="0.2">
      <c r="A1100" s="29" t="s">
        <v>175</v>
      </c>
      <c r="B1100" s="30" t="s">
        <v>204</v>
      </c>
      <c r="C1100" s="30" t="s">
        <v>173</v>
      </c>
      <c r="D1100" s="30" t="s">
        <v>177</v>
      </c>
      <c r="E1100" s="30"/>
      <c r="F1100" s="45">
        <f t="shared" si="223"/>
        <v>7018.2663300000013</v>
      </c>
      <c r="G1100" s="239">
        <f t="shared" si="223"/>
        <v>0</v>
      </c>
      <c r="H1100" s="239">
        <f t="shared" si="223"/>
        <v>0</v>
      </c>
    </row>
    <row r="1101" spans="1:8" ht="36" x14ac:dyDescent="0.2">
      <c r="A1101" s="35" t="s">
        <v>185</v>
      </c>
      <c r="B1101" s="36" t="s">
        <v>204</v>
      </c>
      <c r="C1101" s="36" t="s">
        <v>173</v>
      </c>
      <c r="D1101" s="36" t="s">
        <v>177</v>
      </c>
      <c r="E1101" s="36" t="s">
        <v>186</v>
      </c>
      <c r="F1101" s="46">
        <f t="shared" si="223"/>
        <v>7018.2663300000013</v>
      </c>
      <c r="G1101" s="240">
        <f t="shared" si="223"/>
        <v>0</v>
      </c>
      <c r="H1101" s="240">
        <f t="shared" si="223"/>
        <v>0</v>
      </c>
    </row>
    <row r="1102" spans="1:8" x14ac:dyDescent="0.2">
      <c r="A1102" s="35" t="s">
        <v>187</v>
      </c>
      <c r="B1102" s="36" t="s">
        <v>204</v>
      </c>
      <c r="C1102" s="36" t="s">
        <v>173</v>
      </c>
      <c r="D1102" s="36" t="s">
        <v>177</v>
      </c>
      <c r="E1102" s="36" t="s">
        <v>188</v>
      </c>
      <c r="F1102" s="37">
        <f>3825.64321+412.8392+330.27136+385.31659+495.40703+743.11055+825.67839</f>
        <v>7018.2663300000013</v>
      </c>
      <c r="G1102" s="240">
        <v>0</v>
      </c>
      <c r="H1102" s="240">
        <v>0</v>
      </c>
    </row>
    <row r="1103" spans="1:8" x14ac:dyDescent="0.2">
      <c r="A1103" s="77" t="s">
        <v>172</v>
      </c>
      <c r="B1103" s="30" t="s">
        <v>204</v>
      </c>
      <c r="C1103" s="30" t="s">
        <v>173</v>
      </c>
      <c r="D1103" s="30"/>
      <c r="E1103" s="30"/>
      <c r="F1103" s="45">
        <f t="shared" ref="F1103:H1105" si="224">F1104</f>
        <v>688.06532000000004</v>
      </c>
      <c r="G1103" s="239">
        <f t="shared" si="224"/>
        <v>0</v>
      </c>
      <c r="H1103" s="239">
        <f t="shared" si="224"/>
        <v>0</v>
      </c>
    </row>
    <row r="1104" spans="1:8" ht="24" x14ac:dyDescent="0.2">
      <c r="A1104" s="29" t="s">
        <v>655</v>
      </c>
      <c r="B1104" s="30" t="s">
        <v>204</v>
      </c>
      <c r="C1104" s="30" t="s">
        <v>173</v>
      </c>
      <c r="D1104" s="30" t="s">
        <v>656</v>
      </c>
      <c r="E1104" s="30"/>
      <c r="F1104" s="45">
        <f t="shared" si="224"/>
        <v>688.06532000000004</v>
      </c>
      <c r="G1104" s="239">
        <f t="shared" si="224"/>
        <v>0</v>
      </c>
      <c r="H1104" s="239">
        <f t="shared" si="224"/>
        <v>0</v>
      </c>
    </row>
    <row r="1105" spans="1:8" ht="36" x14ac:dyDescent="0.2">
      <c r="A1105" s="35" t="s">
        <v>185</v>
      </c>
      <c r="B1105" s="36" t="s">
        <v>204</v>
      </c>
      <c r="C1105" s="36" t="s">
        <v>173</v>
      </c>
      <c r="D1105" s="36" t="s">
        <v>656</v>
      </c>
      <c r="E1105" s="36" t="s">
        <v>186</v>
      </c>
      <c r="F1105" s="46">
        <f t="shared" si="224"/>
        <v>688.06532000000004</v>
      </c>
      <c r="G1105" s="240">
        <f t="shared" si="224"/>
        <v>0</v>
      </c>
      <c r="H1105" s="240">
        <f t="shared" si="224"/>
        <v>0</v>
      </c>
    </row>
    <row r="1106" spans="1:8" x14ac:dyDescent="0.2">
      <c r="A1106" s="35" t="s">
        <v>187</v>
      </c>
      <c r="B1106" s="36" t="s">
        <v>204</v>
      </c>
      <c r="C1106" s="36" t="s">
        <v>173</v>
      </c>
      <c r="D1106" s="36" t="s">
        <v>656</v>
      </c>
      <c r="E1106" s="36" t="s">
        <v>188</v>
      </c>
      <c r="F1106" s="115">
        <v>688.06532000000004</v>
      </c>
      <c r="G1106" s="240">
        <v>0</v>
      </c>
      <c r="H1106" s="240">
        <v>0</v>
      </c>
    </row>
    <row r="1107" spans="1:8" x14ac:dyDescent="0.2">
      <c r="A1107" s="29" t="s">
        <v>290</v>
      </c>
      <c r="B1107" s="30" t="s">
        <v>204</v>
      </c>
      <c r="C1107" s="30" t="s">
        <v>177</v>
      </c>
      <c r="D1107" s="30"/>
      <c r="E1107" s="30"/>
      <c r="F1107" s="45">
        <f t="shared" ref="F1107:H1109" si="225">F1108</f>
        <v>605.49749999999995</v>
      </c>
      <c r="G1107" s="239">
        <f t="shared" si="225"/>
        <v>0</v>
      </c>
      <c r="H1107" s="239">
        <f t="shared" si="225"/>
        <v>0</v>
      </c>
    </row>
    <row r="1108" spans="1:8" x14ac:dyDescent="0.2">
      <c r="A1108" s="29" t="s">
        <v>403</v>
      </c>
      <c r="B1108" s="30" t="s">
        <v>204</v>
      </c>
      <c r="C1108" s="30" t="s">
        <v>177</v>
      </c>
      <c r="D1108" s="30" t="s">
        <v>404</v>
      </c>
      <c r="E1108" s="30"/>
      <c r="F1108" s="45">
        <f t="shared" si="225"/>
        <v>605.49749999999995</v>
      </c>
      <c r="G1108" s="239">
        <f t="shared" si="225"/>
        <v>0</v>
      </c>
      <c r="H1108" s="239">
        <f t="shared" si="225"/>
        <v>0</v>
      </c>
    </row>
    <row r="1109" spans="1:8" ht="36" x14ac:dyDescent="0.2">
      <c r="A1109" s="35" t="s">
        <v>185</v>
      </c>
      <c r="B1109" s="36" t="s">
        <v>204</v>
      </c>
      <c r="C1109" s="36" t="s">
        <v>177</v>
      </c>
      <c r="D1109" s="36" t="s">
        <v>404</v>
      </c>
      <c r="E1109" s="36" t="s">
        <v>186</v>
      </c>
      <c r="F1109" s="46">
        <f t="shared" si="225"/>
        <v>605.49749999999995</v>
      </c>
      <c r="G1109" s="240">
        <f t="shared" si="225"/>
        <v>0</v>
      </c>
      <c r="H1109" s="240">
        <f t="shared" si="225"/>
        <v>0</v>
      </c>
    </row>
    <row r="1110" spans="1:8" x14ac:dyDescent="0.2">
      <c r="A1110" s="35" t="s">
        <v>187</v>
      </c>
      <c r="B1110" s="36" t="s">
        <v>204</v>
      </c>
      <c r="C1110" s="36" t="s">
        <v>177</v>
      </c>
      <c r="D1110" s="36" t="s">
        <v>404</v>
      </c>
      <c r="E1110" s="36" t="s">
        <v>188</v>
      </c>
      <c r="F1110" s="115">
        <f>302.74875+302.74875</f>
        <v>605.49749999999995</v>
      </c>
      <c r="G1110" s="240">
        <v>0</v>
      </c>
      <c r="H1110" s="240">
        <v>0</v>
      </c>
    </row>
    <row r="1111" spans="1:8" x14ac:dyDescent="0.2">
      <c r="A1111" s="29" t="s">
        <v>367</v>
      </c>
      <c r="B1111" s="30" t="s">
        <v>204</v>
      </c>
      <c r="C1111" s="30" t="s">
        <v>206</v>
      </c>
      <c r="D1111" s="30"/>
      <c r="E1111" s="30"/>
      <c r="F1111" s="45">
        <f t="shared" ref="F1111:H1113" si="226">F1112</f>
        <v>1541.2663200000002</v>
      </c>
      <c r="G1111" s="239">
        <f t="shared" si="226"/>
        <v>0</v>
      </c>
      <c r="H1111" s="239">
        <f t="shared" si="226"/>
        <v>0</v>
      </c>
    </row>
    <row r="1112" spans="1:8" x14ac:dyDescent="0.2">
      <c r="A1112" s="29" t="s">
        <v>539</v>
      </c>
      <c r="B1112" s="30" t="s">
        <v>204</v>
      </c>
      <c r="C1112" s="30" t="s">
        <v>206</v>
      </c>
      <c r="D1112" s="30" t="s">
        <v>206</v>
      </c>
      <c r="E1112" s="30"/>
      <c r="F1112" s="45">
        <f t="shared" si="226"/>
        <v>1541.2663200000002</v>
      </c>
      <c r="G1112" s="239">
        <f t="shared" si="226"/>
        <v>0</v>
      </c>
      <c r="H1112" s="239">
        <f t="shared" si="226"/>
        <v>0</v>
      </c>
    </row>
    <row r="1113" spans="1:8" ht="36" x14ac:dyDescent="0.2">
      <c r="A1113" s="35" t="s">
        <v>185</v>
      </c>
      <c r="B1113" s="36" t="s">
        <v>204</v>
      </c>
      <c r="C1113" s="36" t="s">
        <v>206</v>
      </c>
      <c r="D1113" s="36" t="s">
        <v>206</v>
      </c>
      <c r="E1113" s="36" t="s">
        <v>186</v>
      </c>
      <c r="F1113" s="46">
        <f t="shared" si="226"/>
        <v>1541.2663200000002</v>
      </c>
      <c r="G1113" s="240">
        <f t="shared" si="226"/>
        <v>0</v>
      </c>
      <c r="H1113" s="240">
        <f t="shared" si="226"/>
        <v>0</v>
      </c>
    </row>
    <row r="1114" spans="1:8" x14ac:dyDescent="0.2">
      <c r="A1114" s="35" t="s">
        <v>187</v>
      </c>
      <c r="B1114" s="36" t="s">
        <v>204</v>
      </c>
      <c r="C1114" s="36" t="s">
        <v>206</v>
      </c>
      <c r="D1114" s="36" t="s">
        <v>206</v>
      </c>
      <c r="E1114" s="36" t="s">
        <v>188</v>
      </c>
      <c r="F1114" s="115">
        <f>467.88443+302.74875+770.63314</f>
        <v>1541.2663200000002</v>
      </c>
      <c r="G1114" s="240">
        <v>0</v>
      </c>
      <c r="H1114" s="240">
        <v>0</v>
      </c>
    </row>
    <row r="1115" spans="1:8" x14ac:dyDescent="0.2">
      <c r="A1115" s="29" t="s">
        <v>374</v>
      </c>
      <c r="B1115" s="30" t="s">
        <v>204</v>
      </c>
      <c r="C1115" s="30" t="s">
        <v>375</v>
      </c>
      <c r="D1115" s="30"/>
      <c r="E1115" s="30"/>
      <c r="F1115" s="45">
        <f t="shared" ref="F1115:H1117" si="227">F1116</f>
        <v>660.54271000000006</v>
      </c>
      <c r="G1115" s="239">
        <f t="shared" si="227"/>
        <v>0</v>
      </c>
      <c r="H1115" s="239">
        <f t="shared" si="227"/>
        <v>0</v>
      </c>
    </row>
    <row r="1116" spans="1:8" x14ac:dyDescent="0.2">
      <c r="A1116" s="29" t="s">
        <v>569</v>
      </c>
      <c r="B1116" s="30" t="s">
        <v>204</v>
      </c>
      <c r="C1116" s="30" t="s">
        <v>375</v>
      </c>
      <c r="D1116" s="30" t="s">
        <v>412</v>
      </c>
      <c r="E1116" s="30"/>
      <c r="F1116" s="45">
        <f t="shared" si="227"/>
        <v>660.54271000000006</v>
      </c>
      <c r="G1116" s="239">
        <f t="shared" si="227"/>
        <v>0</v>
      </c>
      <c r="H1116" s="239">
        <f t="shared" si="227"/>
        <v>0</v>
      </c>
    </row>
    <row r="1117" spans="1:8" ht="36" x14ac:dyDescent="0.2">
      <c r="A1117" s="35" t="s">
        <v>185</v>
      </c>
      <c r="B1117" s="36" t="s">
        <v>204</v>
      </c>
      <c r="C1117" s="36" t="s">
        <v>375</v>
      </c>
      <c r="D1117" s="36" t="s">
        <v>412</v>
      </c>
      <c r="E1117" s="36" t="s">
        <v>186</v>
      </c>
      <c r="F1117" s="46">
        <f t="shared" si="227"/>
        <v>660.54271000000006</v>
      </c>
      <c r="G1117" s="240">
        <f t="shared" si="227"/>
        <v>0</v>
      </c>
      <c r="H1117" s="240">
        <f t="shared" si="227"/>
        <v>0</v>
      </c>
    </row>
    <row r="1118" spans="1:8" x14ac:dyDescent="0.2">
      <c r="A1118" s="35" t="s">
        <v>187</v>
      </c>
      <c r="B1118" s="36" t="s">
        <v>204</v>
      </c>
      <c r="C1118" s="36" t="s">
        <v>375</v>
      </c>
      <c r="D1118" s="36" t="s">
        <v>412</v>
      </c>
      <c r="E1118" s="36" t="s">
        <v>188</v>
      </c>
      <c r="F1118" s="115">
        <v>660.54271000000006</v>
      </c>
      <c r="G1118" s="240">
        <v>0</v>
      </c>
      <c r="H1118" s="240">
        <v>0</v>
      </c>
    </row>
    <row r="1119" spans="1:8" x14ac:dyDescent="0.2">
      <c r="A1119" s="29" t="s">
        <v>446</v>
      </c>
      <c r="B1119" s="30" t="s">
        <v>204</v>
      </c>
      <c r="C1119" s="30" t="s">
        <v>404</v>
      </c>
      <c r="D1119" s="30"/>
      <c r="E1119" s="30"/>
      <c r="F1119" s="45">
        <f t="shared" ref="F1119:H1121" si="228">F1120</f>
        <v>220.18091000000001</v>
      </c>
      <c r="G1119" s="239">
        <f t="shared" si="228"/>
        <v>0</v>
      </c>
      <c r="H1119" s="239">
        <f t="shared" si="228"/>
        <v>0</v>
      </c>
    </row>
    <row r="1120" spans="1:8" x14ac:dyDescent="0.2">
      <c r="A1120" s="29" t="s">
        <v>488</v>
      </c>
      <c r="B1120" s="30" t="s">
        <v>204</v>
      </c>
      <c r="C1120" s="30" t="s">
        <v>404</v>
      </c>
      <c r="D1120" s="30" t="s">
        <v>177</v>
      </c>
      <c r="E1120" s="30"/>
      <c r="F1120" s="45">
        <f t="shared" si="228"/>
        <v>220.18091000000001</v>
      </c>
      <c r="G1120" s="239">
        <f t="shared" si="228"/>
        <v>0</v>
      </c>
      <c r="H1120" s="239">
        <f t="shared" si="228"/>
        <v>0</v>
      </c>
    </row>
    <row r="1121" spans="1:8" ht="36" x14ac:dyDescent="0.2">
      <c r="A1121" s="35" t="s">
        <v>185</v>
      </c>
      <c r="B1121" s="36" t="s">
        <v>204</v>
      </c>
      <c r="C1121" s="36" t="s">
        <v>404</v>
      </c>
      <c r="D1121" s="36" t="s">
        <v>177</v>
      </c>
      <c r="E1121" s="36" t="s">
        <v>186</v>
      </c>
      <c r="F1121" s="46">
        <f t="shared" si="228"/>
        <v>220.18091000000001</v>
      </c>
      <c r="G1121" s="240">
        <f t="shared" si="228"/>
        <v>0</v>
      </c>
      <c r="H1121" s="240">
        <f t="shared" si="228"/>
        <v>0</v>
      </c>
    </row>
    <row r="1122" spans="1:8" x14ac:dyDescent="0.2">
      <c r="A1122" s="35" t="s">
        <v>187</v>
      </c>
      <c r="B1122" s="36" t="s">
        <v>828</v>
      </c>
      <c r="C1122" s="36" t="s">
        <v>404</v>
      </c>
      <c r="D1122" s="36" t="s">
        <v>177</v>
      </c>
      <c r="E1122" s="36" t="s">
        <v>188</v>
      </c>
      <c r="F1122" s="115">
        <v>220.18091000000001</v>
      </c>
      <c r="G1122" s="240">
        <v>0</v>
      </c>
      <c r="H1122" s="240">
        <v>0</v>
      </c>
    </row>
    <row r="1123" spans="1:8" x14ac:dyDescent="0.2">
      <c r="A1123" s="29" t="s">
        <v>385</v>
      </c>
      <c r="B1123" s="30" t="s">
        <v>204</v>
      </c>
      <c r="C1123" s="30" t="s">
        <v>210</v>
      </c>
      <c r="D1123" s="30"/>
      <c r="E1123" s="30"/>
      <c r="F1123" s="45">
        <f t="shared" ref="F1123:H1125" si="229">F1124</f>
        <v>220.18091000000001</v>
      </c>
      <c r="G1123" s="239">
        <f t="shared" si="229"/>
        <v>0</v>
      </c>
      <c r="H1123" s="239">
        <f t="shared" si="229"/>
        <v>0</v>
      </c>
    </row>
    <row r="1124" spans="1:8" x14ac:dyDescent="0.2">
      <c r="A1124" s="29" t="s">
        <v>396</v>
      </c>
      <c r="B1124" s="30" t="s">
        <v>204</v>
      </c>
      <c r="C1124" s="30" t="s">
        <v>210</v>
      </c>
      <c r="D1124" s="30" t="s">
        <v>206</v>
      </c>
      <c r="E1124" s="30"/>
      <c r="F1124" s="45">
        <f t="shared" si="229"/>
        <v>220.18091000000001</v>
      </c>
      <c r="G1124" s="239">
        <f t="shared" si="229"/>
        <v>0</v>
      </c>
      <c r="H1124" s="239">
        <f t="shared" si="229"/>
        <v>0</v>
      </c>
    </row>
    <row r="1125" spans="1:8" ht="36" x14ac:dyDescent="0.2">
      <c r="A1125" s="35" t="s">
        <v>185</v>
      </c>
      <c r="B1125" s="36" t="s">
        <v>204</v>
      </c>
      <c r="C1125" s="36" t="s">
        <v>210</v>
      </c>
      <c r="D1125" s="36" t="s">
        <v>206</v>
      </c>
      <c r="E1125" s="36" t="s">
        <v>186</v>
      </c>
      <c r="F1125" s="46">
        <f t="shared" si="229"/>
        <v>220.18091000000001</v>
      </c>
      <c r="G1125" s="240">
        <f t="shared" si="229"/>
        <v>0</v>
      </c>
      <c r="H1125" s="240">
        <f t="shared" si="229"/>
        <v>0</v>
      </c>
    </row>
    <row r="1126" spans="1:8" x14ac:dyDescent="0.2">
      <c r="A1126" s="35" t="s">
        <v>187</v>
      </c>
      <c r="B1126" s="36" t="s">
        <v>204</v>
      </c>
      <c r="C1126" s="36" t="s">
        <v>210</v>
      </c>
      <c r="D1126" s="36" t="s">
        <v>206</v>
      </c>
      <c r="E1126" s="36" t="s">
        <v>188</v>
      </c>
      <c r="F1126" s="46">
        <v>220.18091000000001</v>
      </c>
      <c r="G1126" s="240">
        <v>0</v>
      </c>
      <c r="H1126" s="240">
        <v>0</v>
      </c>
    </row>
    <row r="1127" spans="1:8" ht="13.5" x14ac:dyDescent="0.25">
      <c r="A1127" s="251" t="s">
        <v>317</v>
      </c>
      <c r="B1127" s="79" t="s">
        <v>190</v>
      </c>
      <c r="C1127" s="79"/>
      <c r="D1127" s="79"/>
      <c r="E1127" s="79"/>
      <c r="F1127" s="78">
        <f t="shared" ref="F1127:H1130" si="230">F1128</f>
        <v>15000</v>
      </c>
      <c r="G1127" s="86">
        <f t="shared" si="230"/>
        <v>0</v>
      </c>
      <c r="H1127" s="86">
        <f t="shared" si="230"/>
        <v>0</v>
      </c>
    </row>
    <row r="1128" spans="1:8" ht="13.5" x14ac:dyDescent="0.2">
      <c r="A1128" s="77" t="s">
        <v>290</v>
      </c>
      <c r="B1128" s="74" t="s">
        <v>318</v>
      </c>
      <c r="C1128" s="74" t="s">
        <v>177</v>
      </c>
      <c r="D1128" s="87"/>
      <c r="E1128" s="74"/>
      <c r="F1128" s="31">
        <f t="shared" si="230"/>
        <v>15000</v>
      </c>
      <c r="G1128" s="45">
        <f t="shared" si="230"/>
        <v>0</v>
      </c>
      <c r="H1128" s="45">
        <f t="shared" si="230"/>
        <v>0</v>
      </c>
    </row>
    <row r="1129" spans="1:8" x14ac:dyDescent="0.2">
      <c r="A1129" s="77" t="s">
        <v>291</v>
      </c>
      <c r="B1129" s="74" t="s">
        <v>318</v>
      </c>
      <c r="C1129" s="74" t="s">
        <v>177</v>
      </c>
      <c r="D1129" s="74" t="s">
        <v>292</v>
      </c>
      <c r="E1129" s="74"/>
      <c r="F1129" s="31">
        <f t="shared" si="230"/>
        <v>15000</v>
      </c>
      <c r="G1129" s="45">
        <f t="shared" si="230"/>
        <v>0</v>
      </c>
      <c r="H1129" s="45">
        <f t="shared" si="230"/>
        <v>0</v>
      </c>
    </row>
    <row r="1130" spans="1:8" x14ac:dyDescent="0.2">
      <c r="A1130" s="73" t="s">
        <v>815</v>
      </c>
      <c r="B1130" s="12" t="s">
        <v>318</v>
      </c>
      <c r="C1130" s="12" t="s">
        <v>177</v>
      </c>
      <c r="D1130" s="12" t="s">
        <v>292</v>
      </c>
      <c r="E1130" s="88">
        <v>200</v>
      </c>
      <c r="F1130" s="37">
        <f t="shared" si="230"/>
        <v>15000</v>
      </c>
      <c r="G1130" s="46">
        <f t="shared" si="230"/>
        <v>0</v>
      </c>
      <c r="H1130" s="46">
        <f t="shared" si="230"/>
        <v>0</v>
      </c>
    </row>
    <row r="1131" spans="1:8" x14ac:dyDescent="0.2">
      <c r="A1131" s="73" t="s">
        <v>197</v>
      </c>
      <c r="B1131" s="12" t="s">
        <v>318</v>
      </c>
      <c r="C1131" s="12" t="s">
        <v>177</v>
      </c>
      <c r="D1131" s="12" t="s">
        <v>292</v>
      </c>
      <c r="E1131" s="12" t="s">
        <v>198</v>
      </c>
      <c r="F1131" s="98">
        <v>15000</v>
      </c>
      <c r="G1131" s="115">
        <v>0</v>
      </c>
      <c r="H1131" s="115">
        <v>0</v>
      </c>
    </row>
    <row r="1132" spans="1:8" x14ac:dyDescent="0.2">
      <c r="A1132" s="273" t="s">
        <v>772</v>
      </c>
      <c r="B1132" s="274"/>
      <c r="C1132" s="274"/>
      <c r="D1132" s="274"/>
      <c r="E1132" s="275"/>
      <c r="F1132" s="137">
        <v>0</v>
      </c>
      <c r="G1132" s="72">
        <v>90918.9</v>
      </c>
      <c r="H1132" s="72">
        <v>182126.6</v>
      </c>
    </row>
  </sheetData>
  <autoFilter ref="A20:H1132"/>
  <mergeCells count="24">
    <mergeCell ref="C19:C20"/>
    <mergeCell ref="D19:D20"/>
    <mergeCell ref="A6:H6"/>
    <mergeCell ref="F19:F20"/>
    <mergeCell ref="G19:G20"/>
    <mergeCell ref="H19:H20"/>
    <mergeCell ref="A18:H18"/>
    <mergeCell ref="E19:E20"/>
    <mergeCell ref="A1132:E1132"/>
    <mergeCell ref="A4:H4"/>
    <mergeCell ref="A5:H5"/>
    <mergeCell ref="A1:H1"/>
    <mergeCell ref="A7:H7"/>
    <mergeCell ref="A9:H9"/>
    <mergeCell ref="A10:H10"/>
    <mergeCell ref="A11:H11"/>
    <mergeCell ref="A12:H12"/>
    <mergeCell ref="A13:H13"/>
    <mergeCell ref="A15:H16"/>
    <mergeCell ref="A17:H17"/>
    <mergeCell ref="A2:H2"/>
    <mergeCell ref="A3:H3"/>
    <mergeCell ref="A19:A20"/>
    <mergeCell ref="B19:B20"/>
  </mergeCells>
  <pageMargins left="0.39370078740157483" right="0.39370078740157483" top="0.39370078740157483" bottom="0.39370078740157483" header="0" footer="0"/>
  <pageSetup paperSize="9" scale="84" orientation="landscape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34"/>
  <sheetViews>
    <sheetView view="pageBreakPreview" topLeftCell="A16" zoomScale="140" zoomScaleNormal="100" zoomScaleSheetLayoutView="140" workbookViewId="0">
      <selection activeCell="A3" sqref="A3:H3"/>
    </sheetView>
  </sheetViews>
  <sheetFormatPr defaultRowHeight="12.75" x14ac:dyDescent="0.2"/>
  <cols>
    <col min="1" max="1" width="68.140625" style="3" customWidth="1"/>
    <col min="2" max="2" width="6.28515625" style="3" customWidth="1"/>
    <col min="3" max="3" width="12.140625" style="4" customWidth="1"/>
    <col min="4" max="4" width="6.28515625" style="4" customWidth="1"/>
    <col min="5" max="5" width="6" style="4" customWidth="1"/>
    <col min="6" max="8" width="13.28515625" customWidth="1"/>
  </cols>
  <sheetData>
    <row r="1" spans="1:8" ht="15" x14ac:dyDescent="0.25">
      <c r="A1" s="255" t="s">
        <v>34</v>
      </c>
      <c r="B1" s="255"/>
      <c r="C1" s="255"/>
      <c r="D1" s="255"/>
      <c r="E1" s="255"/>
      <c r="F1" s="255"/>
      <c r="G1" s="255"/>
      <c r="H1" s="255"/>
    </row>
    <row r="2" spans="1:8" ht="15" x14ac:dyDescent="0.25">
      <c r="A2" s="255" t="s">
        <v>886</v>
      </c>
      <c r="B2" s="255"/>
      <c r="C2" s="255"/>
      <c r="D2" s="255"/>
      <c r="E2" s="255"/>
      <c r="F2" s="255"/>
      <c r="G2" s="255"/>
      <c r="H2" s="255"/>
    </row>
    <row r="3" spans="1:8" ht="15" x14ac:dyDescent="0.25">
      <c r="A3" s="255" t="s">
        <v>884</v>
      </c>
      <c r="B3" s="255"/>
      <c r="C3" s="255"/>
      <c r="D3" s="255"/>
      <c r="E3" s="255"/>
      <c r="F3" s="255"/>
      <c r="G3" s="255"/>
      <c r="H3" s="255"/>
    </row>
    <row r="4" spans="1:8" ht="15" x14ac:dyDescent="0.25">
      <c r="A4" s="255" t="s">
        <v>20</v>
      </c>
      <c r="B4" s="255"/>
      <c r="C4" s="255"/>
      <c r="D4" s="255"/>
      <c r="E4" s="255"/>
      <c r="F4" s="255"/>
      <c r="G4" s="255"/>
      <c r="H4" s="255"/>
    </row>
    <row r="5" spans="1:8" ht="15" x14ac:dyDescent="0.25">
      <c r="A5" s="255" t="s">
        <v>21</v>
      </c>
      <c r="B5" s="255"/>
      <c r="C5" s="255"/>
      <c r="D5" s="255"/>
      <c r="E5" s="255"/>
      <c r="F5" s="255"/>
      <c r="G5" s="255"/>
      <c r="H5" s="255"/>
    </row>
    <row r="6" spans="1:8" ht="15" x14ac:dyDescent="0.25">
      <c r="A6" s="255" t="s">
        <v>28</v>
      </c>
      <c r="B6" s="255"/>
      <c r="C6" s="255"/>
      <c r="D6" s="255"/>
      <c r="E6" s="255"/>
      <c r="F6" s="255"/>
      <c r="G6" s="255"/>
      <c r="H6" s="255"/>
    </row>
    <row r="7" spans="1:8" ht="15" x14ac:dyDescent="0.25">
      <c r="A7" s="255" t="s">
        <v>26</v>
      </c>
      <c r="B7" s="255"/>
      <c r="C7" s="255"/>
      <c r="D7" s="255"/>
      <c r="E7" s="255"/>
      <c r="F7" s="255"/>
      <c r="G7" s="255"/>
      <c r="H7" s="255"/>
    </row>
    <row r="8" spans="1:8" x14ac:dyDescent="0.2">
      <c r="A8" s="162"/>
      <c r="B8" s="159"/>
      <c r="C8" s="159"/>
      <c r="D8" s="159"/>
      <c r="E8" s="159"/>
      <c r="F8" s="228"/>
      <c r="G8" s="160"/>
      <c r="H8" s="160"/>
    </row>
    <row r="9" spans="1:8" ht="15" x14ac:dyDescent="0.25">
      <c r="A9" s="253" t="s">
        <v>42</v>
      </c>
      <c r="B9" s="253"/>
      <c r="C9" s="253"/>
      <c r="D9" s="253"/>
      <c r="E9" s="253"/>
      <c r="F9" s="253"/>
      <c r="G9" s="253"/>
      <c r="H9" s="253"/>
    </row>
    <row r="10" spans="1:8" ht="15" x14ac:dyDescent="0.25">
      <c r="A10" s="253" t="s">
        <v>22</v>
      </c>
      <c r="B10" s="253"/>
      <c r="C10" s="253"/>
      <c r="D10" s="253"/>
      <c r="E10" s="253"/>
      <c r="F10" s="253"/>
      <c r="G10" s="253"/>
      <c r="H10" s="253"/>
    </row>
    <row r="11" spans="1:8" ht="15" x14ac:dyDescent="0.25">
      <c r="A11" s="253" t="s">
        <v>27</v>
      </c>
      <c r="B11" s="253"/>
      <c r="C11" s="253"/>
      <c r="D11" s="253"/>
      <c r="E11" s="253"/>
      <c r="F11" s="253"/>
      <c r="G11" s="253"/>
      <c r="H11" s="253"/>
    </row>
    <row r="12" spans="1:8" ht="15" x14ac:dyDescent="0.25">
      <c r="A12" s="253" t="s">
        <v>23</v>
      </c>
      <c r="B12" s="253"/>
      <c r="C12" s="253"/>
      <c r="D12" s="253"/>
      <c r="E12" s="253"/>
      <c r="F12" s="253"/>
      <c r="G12" s="253"/>
      <c r="H12" s="253"/>
    </row>
    <row r="13" spans="1:8" ht="15" x14ac:dyDescent="0.25">
      <c r="A13" s="253" t="s">
        <v>24</v>
      </c>
      <c r="B13" s="253"/>
      <c r="C13" s="253"/>
      <c r="D13" s="253"/>
      <c r="E13" s="253"/>
      <c r="F13" s="253"/>
      <c r="G13" s="253"/>
      <c r="H13" s="253"/>
    </row>
    <row r="17" spans="1:8" ht="15.75" x14ac:dyDescent="0.2">
      <c r="A17" s="281" t="s">
        <v>43</v>
      </c>
      <c r="B17" s="281"/>
      <c r="C17" s="281"/>
      <c r="D17" s="281"/>
      <c r="E17" s="281"/>
      <c r="F17" s="281"/>
      <c r="G17" s="281"/>
      <c r="H17" s="281"/>
    </row>
    <row r="19" spans="1:8" x14ac:dyDescent="0.2">
      <c r="A19" s="280" t="s">
        <v>12</v>
      </c>
      <c r="B19" s="280"/>
      <c r="C19" s="280"/>
      <c r="D19" s="280"/>
      <c r="E19" s="280"/>
      <c r="F19" s="280"/>
      <c r="G19" s="280"/>
      <c r="H19" s="280"/>
    </row>
    <row r="20" spans="1:8" ht="36" x14ac:dyDescent="0.2">
      <c r="A20" s="229" t="s">
        <v>2</v>
      </c>
      <c r="B20" s="229" t="s">
        <v>5</v>
      </c>
      <c r="C20" s="229" t="s">
        <v>3</v>
      </c>
      <c r="D20" s="229" t="s">
        <v>1</v>
      </c>
      <c r="E20" s="229" t="s">
        <v>0</v>
      </c>
      <c r="F20" s="163" t="s">
        <v>31</v>
      </c>
      <c r="G20" s="163" t="s">
        <v>32</v>
      </c>
      <c r="H20" s="163" t="s">
        <v>33</v>
      </c>
    </row>
    <row r="21" spans="1:8" ht="15.75" x14ac:dyDescent="0.2">
      <c r="A21" s="230" t="s">
        <v>830</v>
      </c>
      <c r="B21" s="231"/>
      <c r="C21" s="231"/>
      <c r="D21" s="231"/>
      <c r="E21" s="231"/>
      <c r="F21" s="232">
        <f>F22+F27</f>
        <v>145740.1</v>
      </c>
      <c r="G21" s="232">
        <f t="shared" ref="G21:H21" si="0">G22+G27</f>
        <v>88200</v>
      </c>
      <c r="H21" s="232">
        <f t="shared" si="0"/>
        <v>78200</v>
      </c>
    </row>
    <row r="22" spans="1:8" s="5" customFormat="1" ht="24" x14ac:dyDescent="0.2">
      <c r="A22" s="29" t="s">
        <v>831</v>
      </c>
      <c r="B22" s="30"/>
      <c r="C22" s="233"/>
      <c r="D22" s="233"/>
      <c r="E22" s="233"/>
      <c r="F22" s="31">
        <f>F23+F25</f>
        <v>52240.1</v>
      </c>
      <c r="G22" s="31">
        <f t="shared" ref="G22:H22" si="1">G23+G25</f>
        <v>12500</v>
      </c>
      <c r="H22" s="31">
        <f t="shared" si="1"/>
        <v>12500</v>
      </c>
    </row>
    <row r="23" spans="1:8" s="14" customFormat="1" ht="15" x14ac:dyDescent="0.2">
      <c r="A23" s="39" t="s">
        <v>439</v>
      </c>
      <c r="B23" s="40" t="s">
        <v>437</v>
      </c>
      <c r="C23" s="40" t="s">
        <v>440</v>
      </c>
      <c r="D23" s="40"/>
      <c r="E23" s="40"/>
      <c r="F23" s="41">
        <f>F24</f>
        <v>500</v>
      </c>
      <c r="G23" s="41">
        <f t="shared" ref="G23:H23" si="2">G24</f>
        <v>500</v>
      </c>
      <c r="H23" s="41">
        <f t="shared" si="2"/>
        <v>500</v>
      </c>
    </row>
    <row r="24" spans="1:8" s="14" customFormat="1" ht="24" x14ac:dyDescent="0.2">
      <c r="A24" s="35" t="s">
        <v>832</v>
      </c>
      <c r="B24" s="36" t="s">
        <v>437</v>
      </c>
      <c r="C24" s="44" t="s">
        <v>469</v>
      </c>
      <c r="D24" s="36" t="s">
        <v>404</v>
      </c>
      <c r="E24" s="36" t="s">
        <v>173</v>
      </c>
      <c r="F24" s="37">
        <v>500</v>
      </c>
      <c r="G24" s="37">
        <v>500</v>
      </c>
      <c r="H24" s="37">
        <v>500</v>
      </c>
    </row>
    <row r="25" spans="1:8" s="143" customFormat="1" ht="24" x14ac:dyDescent="0.2">
      <c r="A25" s="42" t="s">
        <v>586</v>
      </c>
      <c r="B25" s="40" t="s">
        <v>585</v>
      </c>
      <c r="C25" s="43" t="s">
        <v>587</v>
      </c>
      <c r="D25" s="43"/>
      <c r="E25" s="43"/>
      <c r="F25" s="41">
        <f>F26</f>
        <v>51740.1</v>
      </c>
      <c r="G25" s="41">
        <f>G26</f>
        <v>12000</v>
      </c>
      <c r="H25" s="41">
        <f>H26</f>
        <v>12000</v>
      </c>
    </row>
    <row r="26" spans="1:8" s="14" customFormat="1" ht="24" x14ac:dyDescent="0.2">
      <c r="A26" s="234" t="s">
        <v>613</v>
      </c>
      <c r="B26" s="36" t="s">
        <v>585</v>
      </c>
      <c r="C26" s="44" t="s">
        <v>614</v>
      </c>
      <c r="D26" s="36" t="s">
        <v>206</v>
      </c>
      <c r="E26" s="36" t="s">
        <v>173</v>
      </c>
      <c r="F26" s="37">
        <f>29400+22340.1</f>
        <v>51740.1</v>
      </c>
      <c r="G26" s="37">
        <v>12000</v>
      </c>
      <c r="H26" s="37">
        <v>12000</v>
      </c>
    </row>
    <row r="27" spans="1:8" s="14" customFormat="1" ht="36" x14ac:dyDescent="0.2">
      <c r="A27" s="50" t="s">
        <v>833</v>
      </c>
      <c r="B27" s="30"/>
      <c r="C27" s="51"/>
      <c r="D27" s="51"/>
      <c r="E27" s="51"/>
      <c r="F27" s="31">
        <f>F28+F30</f>
        <v>93500</v>
      </c>
      <c r="G27" s="31">
        <f t="shared" ref="G27:H27" si="3">G28+G30</f>
        <v>75700</v>
      </c>
      <c r="H27" s="31">
        <f t="shared" si="3"/>
        <v>65700</v>
      </c>
    </row>
    <row r="28" spans="1:8" s="14" customFormat="1" ht="24" x14ac:dyDescent="0.2">
      <c r="A28" s="39" t="s">
        <v>405</v>
      </c>
      <c r="B28" s="40" t="s">
        <v>496</v>
      </c>
      <c r="C28" s="40" t="s">
        <v>406</v>
      </c>
      <c r="D28" s="40"/>
      <c r="E28" s="40"/>
      <c r="F28" s="41">
        <f>F29</f>
        <v>93000</v>
      </c>
      <c r="G28" s="41">
        <f t="shared" ref="G28:H28" si="4">G29</f>
        <v>73000</v>
      </c>
      <c r="H28" s="41">
        <f t="shared" si="4"/>
        <v>63000</v>
      </c>
    </row>
    <row r="29" spans="1:8" s="14" customFormat="1" ht="24" x14ac:dyDescent="0.2">
      <c r="A29" s="234" t="s">
        <v>503</v>
      </c>
      <c r="B29" s="36" t="s">
        <v>496</v>
      </c>
      <c r="C29" s="44" t="s">
        <v>504</v>
      </c>
      <c r="D29" s="36" t="s">
        <v>177</v>
      </c>
      <c r="E29" s="36" t="s">
        <v>404</v>
      </c>
      <c r="F29" s="37">
        <f>93000+10000-10000</f>
        <v>93000</v>
      </c>
      <c r="G29" s="37">
        <v>73000</v>
      </c>
      <c r="H29" s="37">
        <v>63000</v>
      </c>
    </row>
    <row r="30" spans="1:8" s="14" customFormat="1" ht="24" x14ac:dyDescent="0.2">
      <c r="A30" s="39" t="s">
        <v>293</v>
      </c>
      <c r="B30" s="40" t="s">
        <v>176</v>
      </c>
      <c r="C30" s="40" t="s">
        <v>294</v>
      </c>
      <c r="D30" s="40"/>
      <c r="E30" s="40"/>
      <c r="F30" s="41">
        <f>SUM(F31:F34)</f>
        <v>500</v>
      </c>
      <c r="G30" s="41">
        <f>SUM(G31:G34)</f>
        <v>2700</v>
      </c>
      <c r="H30" s="41">
        <f>SUM(H31:H34)</f>
        <v>2700</v>
      </c>
    </row>
    <row r="31" spans="1:8" s="14" customFormat="1" ht="24" x14ac:dyDescent="0.2">
      <c r="A31" s="35" t="s">
        <v>295</v>
      </c>
      <c r="B31" s="36" t="s">
        <v>176</v>
      </c>
      <c r="C31" s="44" t="s">
        <v>296</v>
      </c>
      <c r="D31" s="36" t="s">
        <v>177</v>
      </c>
      <c r="E31" s="36" t="s">
        <v>292</v>
      </c>
      <c r="F31" s="37">
        <v>500</v>
      </c>
      <c r="G31" s="37">
        <v>700</v>
      </c>
      <c r="H31" s="37">
        <v>700</v>
      </c>
    </row>
    <row r="32" spans="1:8" s="14" customFormat="1" ht="24" x14ac:dyDescent="0.2">
      <c r="A32" s="234" t="s">
        <v>307</v>
      </c>
      <c r="B32" s="36" t="s">
        <v>176</v>
      </c>
      <c r="C32" s="44" t="s">
        <v>308</v>
      </c>
      <c r="D32" s="36" t="s">
        <v>177</v>
      </c>
      <c r="E32" s="36" t="s">
        <v>292</v>
      </c>
      <c r="F32" s="46">
        <f>5000-5000</f>
        <v>0</v>
      </c>
      <c r="G32" s="46">
        <f>2000</f>
        <v>2000</v>
      </c>
      <c r="H32" s="46">
        <f>2000</f>
        <v>2000</v>
      </c>
    </row>
    <row r="33" hidden="1" x14ac:dyDescent="0.2"/>
    <row r="34" ht="0.75" customHeight="1" x14ac:dyDescent="0.2"/>
  </sheetData>
  <mergeCells count="14">
    <mergeCell ref="A17:H17"/>
    <mergeCell ref="A19:H19"/>
    <mergeCell ref="A7:H7"/>
    <mergeCell ref="A9:H9"/>
    <mergeCell ref="A10:H10"/>
    <mergeCell ref="A11:H11"/>
    <mergeCell ref="A12:H12"/>
    <mergeCell ref="A13:H13"/>
    <mergeCell ref="A6:H6"/>
    <mergeCell ref="A1:H1"/>
    <mergeCell ref="A2:H2"/>
    <mergeCell ref="A3:H3"/>
    <mergeCell ref="A4:H4"/>
    <mergeCell ref="A5:H5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13"/>
  </sheetPr>
  <dimension ref="A1:E53"/>
  <sheetViews>
    <sheetView tabSelected="1" view="pageBreakPreview" topLeftCell="A41" zoomScale="130" zoomScaleNormal="140" zoomScaleSheetLayoutView="130" workbookViewId="0">
      <selection activeCell="A3" sqref="A3:E3"/>
    </sheetView>
  </sheetViews>
  <sheetFormatPr defaultRowHeight="12.75" x14ac:dyDescent="0.2"/>
  <cols>
    <col min="1" max="1" width="26.42578125" customWidth="1"/>
    <col min="2" max="2" width="63.7109375" customWidth="1"/>
    <col min="3" max="5" width="15.7109375" customWidth="1"/>
  </cols>
  <sheetData>
    <row r="1" spans="1:5" ht="15" x14ac:dyDescent="0.25">
      <c r="A1" s="255" t="s">
        <v>42</v>
      </c>
      <c r="B1" s="255"/>
      <c r="C1" s="255"/>
      <c r="D1" s="255"/>
      <c r="E1" s="255"/>
    </row>
    <row r="2" spans="1:5" ht="15" x14ac:dyDescent="0.25">
      <c r="A2" s="255" t="s">
        <v>41</v>
      </c>
      <c r="B2" s="255"/>
      <c r="C2" s="255"/>
      <c r="D2" s="255"/>
      <c r="E2" s="255"/>
    </row>
    <row r="3" spans="1:5" ht="15" x14ac:dyDescent="0.25">
      <c r="A3" s="255" t="s">
        <v>884</v>
      </c>
      <c r="B3" s="255"/>
      <c r="C3" s="255"/>
      <c r="D3" s="255"/>
      <c r="E3" s="255"/>
    </row>
    <row r="4" spans="1:5" ht="15" x14ac:dyDescent="0.25">
      <c r="A4" s="255" t="s">
        <v>20</v>
      </c>
      <c r="B4" s="255"/>
      <c r="C4" s="255"/>
      <c r="D4" s="255"/>
      <c r="E4" s="255"/>
    </row>
    <row r="5" spans="1:5" ht="15" x14ac:dyDescent="0.25">
      <c r="A5" s="255" t="s">
        <v>21</v>
      </c>
      <c r="B5" s="255"/>
      <c r="C5" s="255"/>
      <c r="D5" s="255"/>
      <c r="E5" s="255"/>
    </row>
    <row r="6" spans="1:5" ht="15" x14ac:dyDescent="0.25">
      <c r="A6" s="255" t="s">
        <v>28</v>
      </c>
      <c r="B6" s="255"/>
      <c r="C6" s="255"/>
      <c r="D6" s="255"/>
      <c r="E6" s="255"/>
    </row>
    <row r="7" spans="1:5" ht="15" x14ac:dyDescent="0.25">
      <c r="A7" s="255" t="s">
        <v>26</v>
      </c>
      <c r="B7" s="255"/>
      <c r="C7" s="255"/>
      <c r="D7" s="255"/>
      <c r="E7" s="255"/>
    </row>
    <row r="8" spans="1:5" x14ac:dyDescent="0.2">
      <c r="A8" s="162"/>
      <c r="B8" s="159"/>
      <c r="C8" s="159"/>
      <c r="D8" s="160"/>
      <c r="E8" s="160"/>
    </row>
    <row r="9" spans="1:5" ht="15" x14ac:dyDescent="0.25">
      <c r="A9" s="253" t="s">
        <v>35</v>
      </c>
      <c r="B9" s="253"/>
      <c r="C9" s="253"/>
      <c r="D9" s="253"/>
      <c r="E9" s="253"/>
    </row>
    <row r="10" spans="1:5" ht="15" x14ac:dyDescent="0.25">
      <c r="A10" s="253" t="s">
        <v>22</v>
      </c>
      <c r="B10" s="253"/>
      <c r="C10" s="253"/>
      <c r="D10" s="253"/>
      <c r="E10" s="253"/>
    </row>
    <row r="11" spans="1:5" ht="15" x14ac:dyDescent="0.25">
      <c r="A11" s="253" t="s">
        <v>27</v>
      </c>
      <c r="B11" s="253"/>
      <c r="C11" s="253"/>
      <c r="D11" s="253"/>
      <c r="E11" s="253"/>
    </row>
    <row r="12" spans="1:5" ht="15" x14ac:dyDescent="0.25">
      <c r="A12" s="253" t="s">
        <v>23</v>
      </c>
      <c r="B12" s="253"/>
      <c r="C12" s="253"/>
      <c r="D12" s="253"/>
      <c r="E12" s="253"/>
    </row>
    <row r="13" spans="1:5" ht="15" x14ac:dyDescent="0.25">
      <c r="A13" s="253" t="s">
        <v>24</v>
      </c>
      <c r="B13" s="253"/>
      <c r="C13" s="253"/>
      <c r="D13" s="253"/>
      <c r="E13" s="253"/>
    </row>
    <row r="14" spans="1:5" ht="15" x14ac:dyDescent="0.25">
      <c r="A14" s="161"/>
      <c r="B14" s="161"/>
      <c r="C14" s="161"/>
      <c r="D14" s="161"/>
      <c r="E14" s="161"/>
    </row>
    <row r="15" spans="1:5" ht="15.75" x14ac:dyDescent="0.25">
      <c r="A15" s="286" t="s">
        <v>9</v>
      </c>
      <c r="B15" s="286"/>
      <c r="C15" s="286"/>
      <c r="D15" s="286"/>
      <c r="E15" s="286"/>
    </row>
    <row r="16" spans="1:5" ht="15.75" x14ac:dyDescent="0.25">
      <c r="A16" s="286" t="s">
        <v>11</v>
      </c>
      <c r="B16" s="286"/>
      <c r="C16" s="286"/>
      <c r="D16" s="286"/>
      <c r="E16" s="286"/>
    </row>
    <row r="17" spans="1:5" ht="15.75" x14ac:dyDescent="0.25">
      <c r="A17" s="286" t="s">
        <v>16</v>
      </c>
      <c r="B17" s="286"/>
      <c r="C17" s="286"/>
      <c r="D17" s="286"/>
      <c r="E17" s="286"/>
    </row>
    <row r="18" spans="1:5" ht="13.5" customHeight="1" x14ac:dyDescent="0.2">
      <c r="A18" s="287" t="s">
        <v>10</v>
      </c>
      <c r="B18" s="287"/>
      <c r="C18" s="287"/>
      <c r="D18" s="287"/>
      <c r="E18" s="287"/>
    </row>
    <row r="19" spans="1:5" ht="25.5" customHeight="1" x14ac:dyDescent="0.2">
      <c r="A19" s="262" t="s">
        <v>8</v>
      </c>
      <c r="B19" s="284" t="s">
        <v>7</v>
      </c>
      <c r="C19" s="262" t="s">
        <v>31</v>
      </c>
      <c r="D19" s="262" t="s">
        <v>32</v>
      </c>
      <c r="E19" s="262" t="s">
        <v>33</v>
      </c>
    </row>
    <row r="20" spans="1:5" ht="21" customHeight="1" x14ac:dyDescent="0.2">
      <c r="A20" s="263"/>
      <c r="B20" s="285"/>
      <c r="C20" s="263"/>
      <c r="D20" s="263"/>
      <c r="E20" s="263"/>
    </row>
    <row r="21" spans="1:5" ht="31.5" x14ac:dyDescent="0.2">
      <c r="A21" s="9" t="s">
        <v>834</v>
      </c>
      <c r="B21" s="10" t="s">
        <v>835</v>
      </c>
      <c r="C21" s="21">
        <f>C22+C27+C33+C37</f>
        <v>389295.28242000006</v>
      </c>
      <c r="D21" s="21">
        <f>D22+D27+D33+D37</f>
        <v>0</v>
      </c>
      <c r="E21" s="21">
        <f>E22+E27+E33+E37</f>
        <v>-285911.95689999999</v>
      </c>
    </row>
    <row r="22" spans="1:5" s="140" customFormat="1" ht="31.5" x14ac:dyDescent="0.2">
      <c r="A22" s="7" t="s">
        <v>836</v>
      </c>
      <c r="B22" s="2" t="s">
        <v>837</v>
      </c>
      <c r="C22" s="20">
        <f>C23+C25</f>
        <v>0</v>
      </c>
      <c r="D22" s="20">
        <f>D23+D25</f>
        <v>0</v>
      </c>
      <c r="E22" s="20">
        <f>E23+E25</f>
        <v>0</v>
      </c>
    </row>
    <row r="23" spans="1:5" ht="31.5" x14ac:dyDescent="0.2">
      <c r="A23" s="8" t="s">
        <v>838</v>
      </c>
      <c r="B23" s="11" t="s">
        <v>839</v>
      </c>
      <c r="C23" s="19">
        <f>C24</f>
        <v>0</v>
      </c>
      <c r="D23" s="19">
        <f>D24</f>
        <v>0</v>
      </c>
      <c r="E23" s="19">
        <f>E24</f>
        <v>0</v>
      </c>
    </row>
    <row r="24" spans="1:5" ht="31.5" x14ac:dyDescent="0.2">
      <c r="A24" s="8" t="s">
        <v>840</v>
      </c>
      <c r="B24" s="11" t="s">
        <v>841</v>
      </c>
      <c r="C24" s="19">
        <f>1143221.86-1143221.86</f>
        <v>0</v>
      </c>
      <c r="D24" s="19">
        <f>1143221.86-1143221.86</f>
        <v>0</v>
      </c>
      <c r="E24" s="19">
        <f>1143221.86-1143221.86</f>
        <v>0</v>
      </c>
    </row>
    <row r="25" spans="1:5" ht="31.5" x14ac:dyDescent="0.2">
      <c r="A25" s="8" t="s">
        <v>842</v>
      </c>
      <c r="B25" s="11" t="s">
        <v>878</v>
      </c>
      <c r="C25" s="19">
        <f>C26</f>
        <v>0</v>
      </c>
      <c r="D25" s="19">
        <f>D26</f>
        <v>0</v>
      </c>
      <c r="E25" s="19">
        <f>E26</f>
        <v>0</v>
      </c>
    </row>
    <row r="26" spans="1:5" ht="31.5" x14ac:dyDescent="0.2">
      <c r="A26" s="8" t="s">
        <v>843</v>
      </c>
      <c r="B26" s="11" t="s">
        <v>844</v>
      </c>
      <c r="C26" s="19">
        <f>-1143221.86+1143221.86</f>
        <v>0</v>
      </c>
      <c r="D26" s="19">
        <f>-1143221.86+1143221.86</f>
        <v>0</v>
      </c>
      <c r="E26" s="19">
        <f>-1143221.86+1143221.86</f>
        <v>0</v>
      </c>
    </row>
    <row r="27" spans="1:5" ht="31.5" x14ac:dyDescent="0.2">
      <c r="A27" s="7" t="s">
        <v>845</v>
      </c>
      <c r="B27" s="2" t="s">
        <v>879</v>
      </c>
      <c r="C27" s="20">
        <f>C30+C28</f>
        <v>0</v>
      </c>
      <c r="D27" s="20">
        <f>D30+D28</f>
        <v>0</v>
      </c>
      <c r="E27" s="190">
        <f>E30+E28</f>
        <v>-285911.95689999999</v>
      </c>
    </row>
    <row r="28" spans="1:5" ht="47.25" x14ac:dyDescent="0.2">
      <c r="A28" s="141" t="s">
        <v>846</v>
      </c>
      <c r="B28" s="142" t="s">
        <v>880</v>
      </c>
      <c r="C28" s="19">
        <f>C29</f>
        <v>296346.90000000002</v>
      </c>
      <c r="D28" s="19">
        <f>D29</f>
        <v>0</v>
      </c>
      <c r="E28" s="19">
        <f>E29</f>
        <v>0</v>
      </c>
    </row>
    <row r="29" spans="1:5" ht="47.25" x14ac:dyDescent="0.2">
      <c r="A29" s="141" t="s">
        <v>847</v>
      </c>
      <c r="B29" s="142" t="s">
        <v>881</v>
      </c>
      <c r="C29" s="19">
        <f>296346.9</f>
        <v>296346.90000000002</v>
      </c>
      <c r="D29" s="19">
        <f>291406.7-291406.7</f>
        <v>0</v>
      </c>
      <c r="E29" s="19">
        <f>297592.5-297592.5</f>
        <v>0</v>
      </c>
    </row>
    <row r="30" spans="1:5" ht="47.25" x14ac:dyDescent="0.2">
      <c r="A30" s="8" t="s">
        <v>848</v>
      </c>
      <c r="B30" s="142" t="s">
        <v>882</v>
      </c>
      <c r="C30" s="19">
        <f>C31+C32</f>
        <v>-296346.90000000002</v>
      </c>
      <c r="D30" s="19">
        <f>D31+D32</f>
        <v>0</v>
      </c>
      <c r="E30" s="125">
        <f>E31+E32</f>
        <v>-285911.95689999999</v>
      </c>
    </row>
    <row r="31" spans="1:5" ht="47.25" x14ac:dyDescent="0.2">
      <c r="A31" s="8" t="s">
        <v>849</v>
      </c>
      <c r="B31" s="142" t="s">
        <v>883</v>
      </c>
      <c r="C31" s="19">
        <f>-296346.9</f>
        <v>-296346.90000000002</v>
      </c>
      <c r="D31" s="19">
        <f>-291406.7+291406.7</f>
        <v>0</v>
      </c>
      <c r="E31" s="19">
        <f>-297592.5+297592.5</f>
        <v>0</v>
      </c>
    </row>
    <row r="32" spans="1:5" s="1" customFormat="1" ht="189" x14ac:dyDescent="0.2">
      <c r="A32" s="8" t="s">
        <v>850</v>
      </c>
      <c r="B32" s="191" t="s">
        <v>851</v>
      </c>
      <c r="C32" s="19">
        <v>0</v>
      </c>
      <c r="D32" s="19">
        <v>0</v>
      </c>
      <c r="E32" s="125">
        <f>-285911.9569</f>
        <v>-285911.95689999999</v>
      </c>
    </row>
    <row r="33" spans="1:5" s="1" customFormat="1" ht="31.5" x14ac:dyDescent="0.2">
      <c r="A33" s="7" t="s">
        <v>852</v>
      </c>
      <c r="B33" s="13" t="s">
        <v>853</v>
      </c>
      <c r="C33" s="20">
        <f>C34</f>
        <v>0</v>
      </c>
      <c r="D33" s="20">
        <f t="shared" ref="D33:E35" si="0">D34</f>
        <v>0</v>
      </c>
      <c r="E33" s="20">
        <f t="shared" si="0"/>
        <v>0</v>
      </c>
    </row>
    <row r="34" spans="1:5" s="1" customFormat="1" ht="31.5" x14ac:dyDescent="0.2">
      <c r="A34" s="8" t="s">
        <v>854</v>
      </c>
      <c r="B34" s="11" t="s">
        <v>855</v>
      </c>
      <c r="C34" s="19">
        <f>C35</f>
        <v>0</v>
      </c>
      <c r="D34" s="19">
        <f t="shared" si="0"/>
        <v>0</v>
      </c>
      <c r="E34" s="19">
        <f t="shared" si="0"/>
        <v>0</v>
      </c>
    </row>
    <row r="35" spans="1:5" s="1" customFormat="1" ht="47.25" x14ac:dyDescent="0.2">
      <c r="A35" s="8" t="s">
        <v>856</v>
      </c>
      <c r="B35" s="11" t="s">
        <v>857</v>
      </c>
      <c r="C35" s="19">
        <f>C36</f>
        <v>0</v>
      </c>
      <c r="D35" s="19">
        <f>D36</f>
        <v>0</v>
      </c>
      <c r="E35" s="19">
        <f t="shared" si="0"/>
        <v>0</v>
      </c>
    </row>
    <row r="36" spans="1:5" s="1" customFormat="1" ht="31.5" x14ac:dyDescent="0.2">
      <c r="A36" s="8" t="s">
        <v>858</v>
      </c>
      <c r="B36" s="11" t="s">
        <v>859</v>
      </c>
      <c r="C36" s="19">
        <v>0</v>
      </c>
      <c r="D36" s="19">
        <v>0</v>
      </c>
      <c r="E36" s="19">
        <v>0</v>
      </c>
    </row>
    <row r="37" spans="1:5" s="1" customFormat="1" ht="31.5" x14ac:dyDescent="0.2">
      <c r="A37" s="6" t="s">
        <v>860</v>
      </c>
      <c r="B37" s="22" t="s">
        <v>861</v>
      </c>
      <c r="C37" s="23">
        <f>C38+C42</f>
        <v>389295.28242000006</v>
      </c>
      <c r="D37" s="23">
        <f>D38+D42</f>
        <v>0</v>
      </c>
      <c r="E37" s="23">
        <f>E38+E42</f>
        <v>0</v>
      </c>
    </row>
    <row r="38" spans="1:5" s="1" customFormat="1" ht="15.75" x14ac:dyDescent="0.2">
      <c r="A38" s="18" t="s">
        <v>862</v>
      </c>
      <c r="B38" s="24" t="s">
        <v>863</v>
      </c>
      <c r="C38" s="25">
        <f t="shared" ref="C38:E40" si="1">C39</f>
        <v>-7992829.8382899994</v>
      </c>
      <c r="D38" s="126">
        <f t="shared" si="1"/>
        <v>-7109594.8770000003</v>
      </c>
      <c r="E38" s="126">
        <f t="shared" si="1"/>
        <v>-6743311.352</v>
      </c>
    </row>
    <row r="39" spans="1:5" s="1" customFormat="1" ht="15.75" x14ac:dyDescent="0.2">
      <c r="A39" s="18" t="s">
        <v>864</v>
      </c>
      <c r="B39" s="24" t="s">
        <v>865</v>
      </c>
      <c r="C39" s="25">
        <f t="shared" si="1"/>
        <v>-7992829.8382899994</v>
      </c>
      <c r="D39" s="126">
        <f t="shared" si="1"/>
        <v>-7109594.8770000003</v>
      </c>
      <c r="E39" s="126">
        <f t="shared" si="1"/>
        <v>-6743311.352</v>
      </c>
    </row>
    <row r="40" spans="1:5" s="1" customFormat="1" ht="15.75" x14ac:dyDescent="0.2">
      <c r="A40" s="18" t="s">
        <v>866</v>
      </c>
      <c r="B40" s="24" t="s">
        <v>867</v>
      </c>
      <c r="C40" s="25">
        <f t="shared" si="1"/>
        <v>-7992829.8382899994</v>
      </c>
      <c r="D40" s="126">
        <f t="shared" si="1"/>
        <v>-7109594.8770000003</v>
      </c>
      <c r="E40" s="126">
        <f t="shared" si="1"/>
        <v>-6743311.352</v>
      </c>
    </row>
    <row r="41" spans="1:5" s="1" customFormat="1" ht="31.5" x14ac:dyDescent="0.2">
      <c r="A41" s="18" t="s">
        <v>868</v>
      </c>
      <c r="B41" s="24" t="s">
        <v>869</v>
      </c>
      <c r="C41" s="25">
        <f>-7486750.73129-296346.9-26360-10000+80000-10954-2397.06-21.147-240000</f>
        <v>-7992829.8382899994</v>
      </c>
      <c r="D41" s="126">
        <f>-6957594.877-152000</f>
        <v>-7109594.8770000003</v>
      </c>
      <c r="E41" s="126">
        <f>-6527311.352-216000</f>
        <v>-6743311.352</v>
      </c>
    </row>
    <row r="42" spans="1:5" s="1" customFormat="1" ht="15.75" x14ac:dyDescent="0.2">
      <c r="A42" s="18" t="s">
        <v>870</v>
      </c>
      <c r="B42" s="24" t="s">
        <v>871</v>
      </c>
      <c r="C42" s="25">
        <f>C43</f>
        <v>8382125.1207099995</v>
      </c>
      <c r="D42" s="126">
        <f t="shared" ref="D42:E44" si="2">D43</f>
        <v>7109594.8770000003</v>
      </c>
      <c r="E42" s="126">
        <f t="shared" si="2"/>
        <v>6743311.352</v>
      </c>
    </row>
    <row r="43" spans="1:5" s="1" customFormat="1" ht="15.75" x14ac:dyDescent="0.2">
      <c r="A43" s="18" t="s">
        <v>872</v>
      </c>
      <c r="B43" s="24" t="s">
        <v>873</v>
      </c>
      <c r="C43" s="25">
        <f>C44</f>
        <v>8382125.1207099995</v>
      </c>
      <c r="D43" s="126">
        <f t="shared" si="2"/>
        <v>7109594.8770000003</v>
      </c>
      <c r="E43" s="126">
        <f t="shared" si="2"/>
        <v>6743311.352</v>
      </c>
    </row>
    <row r="44" spans="1:5" s="1" customFormat="1" ht="15.75" x14ac:dyDescent="0.2">
      <c r="A44" s="18" t="s">
        <v>874</v>
      </c>
      <c r="B44" s="24" t="s">
        <v>875</v>
      </c>
      <c r="C44" s="25">
        <f>C45</f>
        <v>8382125.1207099995</v>
      </c>
      <c r="D44" s="126">
        <f t="shared" si="2"/>
        <v>7109594.8770000003</v>
      </c>
      <c r="E44" s="126">
        <f t="shared" si="2"/>
        <v>6743311.352</v>
      </c>
    </row>
    <row r="45" spans="1:5" s="1" customFormat="1" ht="31.5" x14ac:dyDescent="0.2">
      <c r="A45" s="18" t="s">
        <v>876</v>
      </c>
      <c r="B45" s="24" t="s">
        <v>877</v>
      </c>
      <c r="C45" s="25">
        <f>7865079.16744+296346.9+10141.95701+824.88926+26360+10000-80000+10954+2397.06+21.147+240000</f>
        <v>8382125.1207099995</v>
      </c>
      <c r="D45" s="126">
        <f>6957594.877+152000</f>
        <v>7109594.8770000003</v>
      </c>
      <c r="E45" s="126">
        <f>6457399.3951+285911.9569</f>
        <v>6743311.352</v>
      </c>
    </row>
    <row r="46" spans="1:5" s="1" customFormat="1" ht="27" hidden="1" customHeight="1" x14ac:dyDescent="0.25">
      <c r="A46" s="282" t="s">
        <v>13</v>
      </c>
      <c r="B46" s="283"/>
    </row>
    <row r="47" spans="1:5" s="1" customFormat="1" x14ac:dyDescent="0.2"/>
    <row r="48" spans="1:5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</sheetData>
  <mergeCells count="22">
    <mergeCell ref="A46:B46"/>
    <mergeCell ref="A19:A20"/>
    <mergeCell ref="B19:B20"/>
    <mergeCell ref="C19:C20"/>
    <mergeCell ref="A13:E13"/>
    <mergeCell ref="D19:D20"/>
    <mergeCell ref="E19:E20"/>
    <mergeCell ref="A15:E15"/>
    <mergeCell ref="A16:E16"/>
    <mergeCell ref="A17:E17"/>
    <mergeCell ref="A18:E18"/>
    <mergeCell ref="A1:E1"/>
    <mergeCell ref="A2:E2"/>
    <mergeCell ref="A3:E3"/>
    <mergeCell ref="A4:E4"/>
    <mergeCell ref="A5:E5"/>
    <mergeCell ref="A12:E12"/>
    <mergeCell ref="A6:E6"/>
    <mergeCell ref="A7:E7"/>
    <mergeCell ref="A9:E9"/>
    <mergeCell ref="A10:E10"/>
    <mergeCell ref="A11:E11"/>
  </mergeCells>
  <phoneticPr fontId="2" type="noConversion"/>
  <pageMargins left="0.47244094488188981" right="0.39370078740157483" top="0.39370078740157483" bottom="0.39370078740157483" header="0" footer="0"/>
  <pageSetup paperSize="9" orientation="landscape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Доходы 2023-2025 годы</vt:lpstr>
      <vt:lpstr> Ведомственная 2023-2025 годы </vt:lpstr>
      <vt:lpstr>Расходы 2023-2025 годы</vt:lpstr>
      <vt:lpstr>МП, ВЦП и НПР 2023-2025 годы</vt:lpstr>
      <vt:lpstr>Субсидии НКО и ЮЛ 2023-2025</vt:lpstr>
      <vt:lpstr>Источники 2023-2025 годы</vt:lpstr>
      <vt:lpstr>'МП, ВЦП и НПР 2023-2025 годы'!Заголовки_для_печати</vt:lpstr>
      <vt:lpstr>'Расходы 2023-2025 годы'!Заголовки_для_печати</vt:lpstr>
      <vt:lpstr>' Ведомственная 2023-2025 годы '!Область_печати</vt:lpstr>
      <vt:lpstr>'Доходы 2023-2025 годы'!Область_печати</vt:lpstr>
      <vt:lpstr>'МП, ВЦП и НПР 2023-2025 годы'!Область_печати</vt:lpstr>
      <vt:lpstr>'Расходы 2023-2025 годы'!Область_печати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Залина Дзодзиева</cp:lastModifiedBy>
  <cp:lastPrinted>2023-09-06T13:07:38Z</cp:lastPrinted>
  <dcterms:created xsi:type="dcterms:W3CDTF">2010-10-28T10:47:01Z</dcterms:created>
  <dcterms:modified xsi:type="dcterms:W3CDTF">2023-09-18T07:53:50Z</dcterms:modified>
</cp:coreProperties>
</file>